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SUARIO\Desktop\Regalias\Consultoria\SOLICITUD ADICION CONTRATO\tramite adicion\AJUSTE PROYECTO v. 27-07-2021\"/>
    </mc:Choice>
  </mc:AlternateContent>
  <xr:revisionPtr revIDLastSave="0" documentId="13_ncr:1_{CA64F30A-9115-4B7B-AAB9-F7E2A386EFE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UENTES" sheetId="1" r:id="rId1"/>
    <sheet name="TALUDES" sheetId="3" r:id="rId2"/>
    <sheet name="EDIFICACIONES" sheetId="4" r:id="rId3"/>
    <sheet name="ZODMES" sheetId="5" r:id="rId4"/>
    <sheet name="FUENTES" sheetId="7" r:id="rId5"/>
    <sheet name="RESUMEN V.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G18" i="6"/>
  <c r="F47" i="1" l="1"/>
  <c r="C4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8" i="1"/>
  <c r="E7" i="1"/>
  <c r="K14" i="1" l="1"/>
  <c r="K13" i="1"/>
  <c r="K9" i="1"/>
  <c r="E5" i="6"/>
  <c r="K13" i="7"/>
  <c r="L13" i="7" s="1"/>
  <c r="K9" i="7"/>
  <c r="K8" i="7"/>
  <c r="K7" i="7"/>
  <c r="F8" i="7"/>
  <c r="C15" i="7" s="1"/>
  <c r="E15" i="7" s="1"/>
  <c r="C8" i="7"/>
  <c r="E8" i="7"/>
  <c r="F8" i="5"/>
  <c r="C15" i="5" s="1"/>
  <c r="E15" i="5" s="1"/>
  <c r="C8" i="5"/>
  <c r="E7" i="5"/>
  <c r="E8" i="5" s="1"/>
  <c r="F8" i="4"/>
  <c r="C25" i="4" s="1"/>
  <c r="E25" i="4" s="1"/>
  <c r="C8" i="4"/>
  <c r="E7" i="4"/>
  <c r="E8" i="4" s="1"/>
  <c r="C54" i="1"/>
  <c r="E54" i="1" s="1"/>
  <c r="F21" i="3"/>
  <c r="F8" i="3"/>
  <c r="E20" i="3"/>
  <c r="E21" i="3" s="1"/>
  <c r="C29" i="3" s="1"/>
  <c r="C8" i="3"/>
  <c r="E2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9" i="1"/>
  <c r="K14" i="4" l="1"/>
  <c r="C22" i="4"/>
  <c r="E22" i="4" s="1"/>
  <c r="K10" i="4"/>
  <c r="K8" i="4"/>
  <c r="K8" i="5"/>
  <c r="K7" i="5"/>
  <c r="C12" i="5"/>
  <c r="E12" i="5" s="1"/>
  <c r="K14" i="5"/>
  <c r="K9" i="5"/>
  <c r="K10" i="5"/>
  <c r="K7" i="4"/>
  <c r="K6" i="4"/>
  <c r="E47" i="1"/>
  <c r="K11" i="7"/>
  <c r="L11" i="7" s="1"/>
  <c r="C12" i="7"/>
  <c r="E12" i="7" s="1"/>
  <c r="C32" i="3"/>
  <c r="E32" i="3" s="1"/>
  <c r="K10" i="7"/>
  <c r="L10" i="7" s="1"/>
  <c r="L9" i="7"/>
  <c r="L8" i="7"/>
  <c r="L7" i="7"/>
  <c r="K12" i="7"/>
  <c r="L12" i="7" s="1"/>
  <c r="K12" i="1"/>
  <c r="K8" i="1"/>
  <c r="K10" i="1"/>
  <c r="E7" i="3"/>
  <c r="E8" i="3" s="1"/>
  <c r="C26" i="3" s="1"/>
  <c r="E26" i="3" s="1"/>
  <c r="K6" i="1" l="1"/>
  <c r="K7" i="1"/>
  <c r="K7" i="3"/>
  <c r="K6" i="3"/>
  <c r="L14" i="7"/>
  <c r="I20" i="7" s="1"/>
  <c r="E29" i="3"/>
  <c r="C51" i="1"/>
  <c r="E51" i="1" s="1"/>
  <c r="C21" i="3" l="1"/>
  <c r="L13" i="5"/>
  <c r="L12" i="5"/>
  <c r="L11" i="5"/>
  <c r="L14" i="5"/>
  <c r="L11" i="4"/>
  <c r="L10" i="1"/>
  <c r="K11" i="3" l="1"/>
  <c r="K9" i="3"/>
  <c r="K13" i="3"/>
  <c r="K8" i="3"/>
  <c r="L12" i="3"/>
  <c r="L13" i="1"/>
  <c r="L14" i="1"/>
  <c r="L11" i="1"/>
  <c r="L12" i="1"/>
  <c r="L8" i="1"/>
  <c r="L9" i="1"/>
  <c r="L10" i="5"/>
  <c r="L9" i="5"/>
  <c r="L14" i="4"/>
  <c r="L9" i="4"/>
  <c r="L8" i="4"/>
  <c r="L10" i="4"/>
  <c r="L12" i="4"/>
  <c r="L13" i="4"/>
  <c r="L6" i="1" l="1"/>
  <c r="L7" i="1"/>
  <c r="L8" i="5"/>
  <c r="L7" i="5"/>
  <c r="L6" i="4"/>
  <c r="L7" i="4"/>
  <c r="L10" i="3"/>
  <c r="L8" i="3"/>
  <c r="L11" i="3"/>
  <c r="L9" i="3"/>
  <c r="L13" i="3"/>
  <c r="L15" i="1" l="1"/>
  <c r="I25" i="1" s="1"/>
  <c r="L15" i="5"/>
  <c r="I20" i="5" s="1"/>
  <c r="L6" i="3"/>
  <c r="L7" i="3"/>
  <c r="L15" i="4"/>
  <c r="I19" i="4" s="1"/>
  <c r="L14" i="3" l="1"/>
  <c r="I23" i="3" l="1"/>
  <c r="E9" i="6" s="1"/>
  <c r="E12" i="6" s="1"/>
  <c r="E16" i="6" s="1"/>
</calcChain>
</file>

<file path=xl/sharedStrings.xml><?xml version="1.0" encoding="utf-8"?>
<sst xmlns="http://schemas.openxmlformats.org/spreadsheetml/2006/main" count="196" uniqueCount="71">
  <si>
    <t xml:space="preserve">Puente </t>
  </si>
  <si>
    <t>No.</t>
  </si>
  <si>
    <t xml:space="preserve">Cantidad </t>
  </si>
  <si>
    <t>(UN)</t>
  </si>
  <si>
    <t>Profundidad (m)</t>
  </si>
  <si>
    <t>TOTAL</t>
  </si>
  <si>
    <t xml:space="preserve">Metros Lineales </t>
  </si>
  <si>
    <t>VALOR ML</t>
  </si>
  <si>
    <t>LIMITES DE CONSISTENCIA</t>
  </si>
  <si>
    <t>MATERIA ORGANICA COLORIMETRICO</t>
  </si>
  <si>
    <t>CONSOLIDACIÓN</t>
  </si>
  <si>
    <t>CD CONSOLIDADO - DRENADO</t>
  </si>
  <si>
    <t>CD EN ROCAS BLANDAS</t>
  </si>
  <si>
    <t>COMPRESION SIMPLE EN ROCAS</t>
  </si>
  <si>
    <t>CARGA PUNTUAL</t>
  </si>
  <si>
    <t>PESO UNITARIO</t>
  </si>
  <si>
    <t>ENSAYO</t>
  </si>
  <si>
    <t>VALOR UNITARIO</t>
  </si>
  <si>
    <t>VALOR TOTAL</t>
  </si>
  <si>
    <t>CANTIDAD (UN)</t>
  </si>
  <si>
    <t>GRANULOMETRIA TAMIZ 200</t>
  </si>
  <si>
    <t>TOTAL PUENTES</t>
  </si>
  <si>
    <t>EXPLORACION ZONIFICACIÓN CORTES, TERRAPLENES</t>
  </si>
  <si>
    <t>TOTAL TALUDES</t>
  </si>
  <si>
    <t>Estaciones</t>
  </si>
  <si>
    <t>BOLSA DISPONIBLE</t>
  </si>
  <si>
    <t>EXPLORACION ESTACIONES</t>
  </si>
  <si>
    <t>Cantidad</t>
  </si>
  <si>
    <t>TRANSPORTE</t>
  </si>
  <si>
    <t>Longitud (m)</t>
  </si>
  <si>
    <t>ANTES DE IVA</t>
  </si>
  <si>
    <t>LRS</t>
  </si>
  <si>
    <t>ML PERFOR</t>
  </si>
  <si>
    <t>TOTAL ENSAYOS DE LABORATORIO</t>
  </si>
  <si>
    <t>VALOR UN</t>
  </si>
  <si>
    <t>SC</t>
  </si>
  <si>
    <t>Taludes Zonificac</t>
  </si>
  <si>
    <t>PERFORACIÓN MECÁNICA</t>
  </si>
  <si>
    <t>LSR</t>
  </si>
  <si>
    <t>EXPLORACION PUENTES Y VIADUCTOS</t>
  </si>
  <si>
    <t xml:space="preserve">NOTA: </t>
  </si>
  <si>
    <t>de tuneles.</t>
  </si>
  <si>
    <t>EXPLORACIÓN SITIOS CRÍTICOS</t>
  </si>
  <si>
    <t>TOTAL EDIFICACIONES</t>
  </si>
  <si>
    <t>EXPLORACION ZODMES</t>
  </si>
  <si>
    <t>ZODMES</t>
  </si>
  <si>
    <t>TOTAL ZODMES</t>
  </si>
  <si>
    <t>FUENTES</t>
  </si>
  <si>
    <t>TOTAL FUENTES</t>
  </si>
  <si>
    <t>CBR SUELOS GRANULARES</t>
  </si>
  <si>
    <t>EQUIVALENTE DE ARENA</t>
  </si>
  <si>
    <t>GRANULOMETRIA</t>
  </si>
  <si>
    <t>RESISTENCIA AL DESGASTE</t>
  </si>
  <si>
    <t>TUNELES</t>
  </si>
  <si>
    <t xml:space="preserve">   INFORMACIÓN SUMINISTRADA</t>
  </si>
  <si>
    <t>GEOTECNIA CIELO ABIERTO</t>
  </si>
  <si>
    <t>GASTOS DE CAMPO TOTAL</t>
  </si>
  <si>
    <t>En total son 22 perforaciones, pero nueve (9) ya han sido contabilizadas por el área</t>
  </si>
  <si>
    <t>APIQUES</t>
  </si>
  <si>
    <t>EXPLORACION FUENTES</t>
  </si>
  <si>
    <t>-</t>
  </si>
  <si>
    <t>DISPONIBLE - GASTOS</t>
  </si>
  <si>
    <t>204,193,865</t>
  </si>
  <si>
    <t>APIQUES (PROFUNDIDAD 3 m)</t>
  </si>
  <si>
    <t>* Se modifico el item de perforacion mecanica a apique de 3 m, simulando que dos apiques de 3 m representan un barreno manual a 6 m</t>
  </si>
  <si>
    <t>DÉFICIT EN CONTRATO</t>
  </si>
  <si>
    <t>DISPONIBLE CONTRATO</t>
  </si>
  <si>
    <t>TOTAL REQUERIDO POR EL PROYECTO</t>
  </si>
  <si>
    <t>IVA (19%)</t>
  </si>
  <si>
    <t>TRABAJO DE CAMPO EN GEOTECNIA REQUERIDO PARA PROYECTO FACTIBILIDAD CONEXIÓN FÉRREA SANTO DOMINGO-PUERTO BERRÍO</t>
  </si>
  <si>
    <t>TOTAL REQUERIDO COMO ADICIÓN AL CONTRATO DE CONSULTORÍA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</si>
</sst>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19" xfId="0" applyFont="1" applyBorder="1" applyAlignment="1">
      <alignment horizontal="center"/>
    </xf>
    <xf numFmtId="164" fontId="4" fillId="0" borderId="27" xfId="1" applyFont="1" applyBorder="1"/>
    <xf numFmtId="1" fontId="4" fillId="0" borderId="14" xfId="0" applyNumberFormat="1" applyFont="1" applyBorder="1" applyAlignment="1">
      <alignment horizontal="center"/>
    </xf>
    <xf numFmtId="164" fontId="4" fillId="0" borderId="15" xfId="1" applyFont="1" applyBorder="1"/>
    <xf numFmtId="0" fontId="4" fillId="0" borderId="26" xfId="0" applyFont="1" applyBorder="1" applyAlignment="1">
      <alignment horizontal="center"/>
    </xf>
    <xf numFmtId="164" fontId="4" fillId="0" borderId="25" xfId="1" applyFont="1" applyBorder="1"/>
    <xf numFmtId="1" fontId="4" fillId="0" borderId="10" xfId="0" applyNumberFormat="1" applyFont="1" applyBorder="1" applyAlignment="1">
      <alignment horizontal="center"/>
    </xf>
    <xf numFmtId="164" fontId="4" fillId="0" borderId="11" xfId="1" applyFont="1" applyBorder="1"/>
    <xf numFmtId="0" fontId="4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4" fillId="0" borderId="18" xfId="1" applyFont="1" applyBorder="1"/>
    <xf numFmtId="0" fontId="4" fillId="0" borderId="12" xfId="0" applyFont="1" applyBorder="1" applyAlignment="1">
      <alignment horizontal="center"/>
    </xf>
    <xf numFmtId="164" fontId="4" fillId="0" borderId="13" xfId="1" applyFont="1" applyBorder="1"/>
    <xf numFmtId="164" fontId="5" fillId="0" borderId="1" xfId="0" applyNumberFormat="1" applyFont="1" applyBorder="1"/>
    <xf numFmtId="0" fontId="4" fillId="0" borderId="0" xfId="0" applyFont="1" applyBorder="1"/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5" fillId="0" borderId="0" xfId="1" applyFont="1"/>
    <xf numFmtId="164" fontId="4" fillId="0" borderId="0" xfId="0" applyNumberFormat="1" applyFont="1"/>
    <xf numFmtId="0" fontId="5" fillId="0" borderId="32" xfId="0" applyFont="1" applyBorder="1" applyAlignment="1">
      <alignment horizontal="center"/>
    </xf>
    <xf numFmtId="164" fontId="4" fillId="0" borderId="33" xfId="1" applyFont="1" applyBorder="1" applyAlignment="1">
      <alignment horizontal="center"/>
    </xf>
    <xf numFmtId="164" fontId="5" fillId="0" borderId="34" xfId="0" applyNumberFormat="1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164" fontId="5" fillId="4" borderId="3" xfId="1" applyFont="1" applyFill="1" applyBorder="1" applyAlignment="1">
      <alignment horizontal="center"/>
    </xf>
    <xf numFmtId="164" fontId="6" fillId="4" borderId="3" xfId="1" applyFont="1" applyFill="1" applyBorder="1" applyAlignment="1">
      <alignment horizontal="center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165" fontId="7" fillId="0" borderId="0" xfId="0" applyNumberFormat="1" applyFont="1"/>
    <xf numFmtId="164" fontId="10" fillId="0" borderId="1" xfId="1" applyFont="1" applyBorder="1" applyAlignment="1">
      <alignment horizontal="center"/>
    </xf>
    <xf numFmtId="164" fontId="7" fillId="0" borderId="0" xfId="1" applyFont="1"/>
    <xf numFmtId="164" fontId="7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0" fontId="9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7" fillId="0" borderId="0" xfId="0" applyNumberFormat="1" applyFont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3" borderId="30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164" fontId="10" fillId="0" borderId="8" xfId="1" applyFont="1" applyBorder="1" applyAlignment="1">
      <alignment horizontal="center"/>
    </xf>
    <xf numFmtId="164" fontId="10" fillId="0" borderId="9" xfId="1" applyFont="1" applyBorder="1" applyAlignment="1">
      <alignment horizontal="center"/>
    </xf>
    <xf numFmtId="164" fontId="10" fillId="0" borderId="4" xfId="1" applyFont="1" applyBorder="1" applyAlignment="1">
      <alignment horizontal="center"/>
    </xf>
    <xf numFmtId="164" fontId="7" fillId="4" borderId="30" xfId="0" applyNumberFormat="1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4" fontId="7" fillId="0" borderId="0" xfId="1" applyFont="1" applyAlignment="1">
      <alignment wrapText="1"/>
    </xf>
    <xf numFmtId="164" fontId="8" fillId="0" borderId="0" xfId="0" applyNumberFormat="1" applyFont="1" applyAlignment="1">
      <alignment horizontal="center" vertical="center"/>
    </xf>
    <xf numFmtId="4" fontId="7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150365</xdr:colOff>
      <xdr:row>0</xdr:row>
      <xdr:rowOff>171450</xdr:rowOff>
    </xdr:from>
    <xdr:to>
      <xdr:col>19</xdr:col>
      <xdr:colOff>714374</xdr:colOff>
      <xdr:row>51</xdr:row>
      <xdr:rowOff>115746</xdr:rowOff>
    </xdr:to>
    <xdr:pic>
      <xdr:nvPicPr>
        <xdr:cNvPr id="3" name="Imagen 2" descr="image00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4"/>
        <a:stretch/>
      </xdr:blipFill>
      <xdr:spPr bwMode="auto">
        <a:xfrm>
          <a:off x="11913740" y="171450"/>
          <a:ext cx="5898009" cy="6154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1</xdr:row>
      <xdr:rowOff>0</xdr:rowOff>
    </xdr:from>
    <xdr:to>
      <xdr:col>19</xdr:col>
      <xdr:colOff>697359</xdr:colOff>
      <xdr:row>32</xdr:row>
      <xdr:rowOff>58596</xdr:rowOff>
    </xdr:to>
    <xdr:pic>
      <xdr:nvPicPr>
        <xdr:cNvPr id="4" name="Imagen 3" descr="image00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4"/>
        <a:stretch/>
      </xdr:blipFill>
      <xdr:spPr bwMode="auto">
        <a:xfrm>
          <a:off x="12211050" y="190500"/>
          <a:ext cx="5898009" cy="600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1</xdr:row>
      <xdr:rowOff>38100</xdr:rowOff>
    </xdr:from>
    <xdr:to>
      <xdr:col>20</xdr:col>
      <xdr:colOff>21084</xdr:colOff>
      <xdr:row>31</xdr:row>
      <xdr:rowOff>144321</xdr:rowOff>
    </xdr:to>
    <xdr:pic>
      <xdr:nvPicPr>
        <xdr:cNvPr id="4" name="Imagen 3" descr="image00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4"/>
        <a:stretch/>
      </xdr:blipFill>
      <xdr:spPr bwMode="auto">
        <a:xfrm>
          <a:off x="12134850" y="228600"/>
          <a:ext cx="5898009" cy="5964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</xdr:row>
      <xdr:rowOff>9525</xdr:rowOff>
    </xdr:from>
    <xdr:to>
      <xdr:col>19</xdr:col>
      <xdr:colOff>706884</xdr:colOff>
      <xdr:row>32</xdr:row>
      <xdr:rowOff>144321</xdr:rowOff>
    </xdr:to>
    <xdr:pic>
      <xdr:nvPicPr>
        <xdr:cNvPr id="4" name="Imagen 3" descr="image00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4"/>
        <a:stretch/>
      </xdr:blipFill>
      <xdr:spPr bwMode="auto">
        <a:xfrm>
          <a:off x="11401425" y="466725"/>
          <a:ext cx="5898009" cy="5964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1</xdr:row>
      <xdr:rowOff>0</xdr:rowOff>
    </xdr:from>
    <xdr:to>
      <xdr:col>19</xdr:col>
      <xdr:colOff>706884</xdr:colOff>
      <xdr:row>32</xdr:row>
      <xdr:rowOff>144321</xdr:rowOff>
    </xdr:to>
    <xdr:pic>
      <xdr:nvPicPr>
        <xdr:cNvPr id="2" name="Imagen 1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4"/>
        <a:stretch/>
      </xdr:blipFill>
      <xdr:spPr bwMode="auto">
        <a:xfrm>
          <a:off x="11811000" y="190500"/>
          <a:ext cx="5898009" cy="6097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L57"/>
  <sheetViews>
    <sheetView zoomScale="85" zoomScaleNormal="85" workbookViewId="0">
      <selection activeCell="I41" sqref="I41"/>
    </sheetView>
  </sheetViews>
  <sheetFormatPr baseColWidth="10" defaultColWidth="11.42578125" defaultRowHeight="14.25" x14ac:dyDescent="0.2"/>
  <cols>
    <col min="1" max="1" width="3.42578125" style="6" customWidth="1"/>
    <col min="2" max="2" width="11.42578125" style="6"/>
    <col min="3" max="3" width="17" style="6" customWidth="1"/>
    <col min="4" max="4" width="14.5703125" style="6" customWidth="1"/>
    <col min="5" max="7" width="15.5703125" style="6" customWidth="1"/>
    <col min="8" max="8" width="2.85546875" style="6" customWidth="1"/>
    <col min="9" max="9" width="40.28515625" style="6" bestFit="1" customWidth="1"/>
    <col min="10" max="10" width="11.42578125" style="6"/>
    <col min="11" max="11" width="12.5703125" style="6" bestFit="1" customWidth="1"/>
    <col min="12" max="12" width="16.140625" style="6" customWidth="1"/>
    <col min="13" max="16384" width="11.42578125" style="6"/>
  </cols>
  <sheetData>
    <row r="1" spans="2:12" ht="15" thickBot="1" x14ac:dyDescent="0.25"/>
    <row r="2" spans="2:12" ht="15.75" thickBot="1" x14ac:dyDescent="0.3">
      <c r="B2" s="80" t="s">
        <v>39</v>
      </c>
      <c r="C2" s="81"/>
      <c r="D2" s="81"/>
      <c r="E2" s="81"/>
      <c r="F2" s="81"/>
      <c r="G2" s="82"/>
    </row>
    <row r="3" spans="2:12" ht="5.0999999999999996" customHeight="1" thickBot="1" x14ac:dyDescent="0.25">
      <c r="B3" s="21"/>
      <c r="G3" s="47"/>
    </row>
    <row r="4" spans="2:12" ht="15" customHeight="1" thickBot="1" x14ac:dyDescent="0.25">
      <c r="C4" s="97" t="s">
        <v>37</v>
      </c>
      <c r="D4" s="85"/>
      <c r="E4" s="86"/>
      <c r="F4" s="85" t="s">
        <v>38</v>
      </c>
      <c r="G4" s="86"/>
      <c r="I4" s="91" t="s">
        <v>16</v>
      </c>
      <c r="J4" s="87" t="s">
        <v>17</v>
      </c>
      <c r="K4" s="93" t="s">
        <v>19</v>
      </c>
      <c r="L4" s="87" t="s">
        <v>18</v>
      </c>
    </row>
    <row r="5" spans="2:12" ht="15.75" thickBot="1" x14ac:dyDescent="0.25">
      <c r="B5" s="37" t="s">
        <v>0</v>
      </c>
      <c r="C5" s="69" t="s">
        <v>2</v>
      </c>
      <c r="D5" s="83" t="s">
        <v>4</v>
      </c>
      <c r="E5" s="83" t="s">
        <v>6</v>
      </c>
      <c r="F5" s="95" t="s">
        <v>27</v>
      </c>
      <c r="G5" s="83" t="s">
        <v>29</v>
      </c>
      <c r="I5" s="92"/>
      <c r="J5" s="88"/>
      <c r="K5" s="94"/>
      <c r="L5" s="88"/>
    </row>
    <row r="6" spans="2:12" ht="15.75" thickBot="1" x14ac:dyDescent="0.25">
      <c r="B6" s="38" t="s">
        <v>1</v>
      </c>
      <c r="C6" s="70" t="s">
        <v>3</v>
      </c>
      <c r="D6" s="84"/>
      <c r="E6" s="84"/>
      <c r="F6" s="96"/>
      <c r="G6" s="84"/>
      <c r="I6" s="7" t="s">
        <v>20</v>
      </c>
      <c r="J6" s="8">
        <v>56853</v>
      </c>
      <c r="K6" s="9">
        <f>+($E47/4)</f>
        <v>132.5</v>
      </c>
      <c r="L6" s="10">
        <f>+K6*J6</f>
        <v>7533022.5</v>
      </c>
    </row>
    <row r="7" spans="2:12" x14ac:dyDescent="0.2">
      <c r="B7" s="39">
        <v>1</v>
      </c>
      <c r="C7" s="76">
        <v>1</v>
      </c>
      <c r="D7" s="73">
        <v>10</v>
      </c>
      <c r="E7" s="76">
        <f>+D7*C7</f>
        <v>10</v>
      </c>
      <c r="F7" s="73">
        <v>0</v>
      </c>
      <c r="G7" s="76">
        <v>50</v>
      </c>
      <c r="I7" s="11" t="s">
        <v>8</v>
      </c>
      <c r="J7" s="12">
        <v>53635</v>
      </c>
      <c r="K7" s="13">
        <f>+($E47/4)</f>
        <v>132.5</v>
      </c>
      <c r="L7" s="14">
        <f>+K7*J7</f>
        <v>7106637.5</v>
      </c>
    </row>
    <row r="8" spans="2:12" x14ac:dyDescent="0.2">
      <c r="B8" s="40">
        <v>2</v>
      </c>
      <c r="C8" s="77">
        <v>1</v>
      </c>
      <c r="D8" s="74">
        <v>10</v>
      </c>
      <c r="E8" s="77">
        <f>+D8*C8</f>
        <v>10</v>
      </c>
      <c r="F8" s="74">
        <v>0</v>
      </c>
      <c r="G8" s="77">
        <v>50</v>
      </c>
      <c r="I8" s="11" t="s">
        <v>9</v>
      </c>
      <c r="J8" s="12">
        <v>25638</v>
      </c>
      <c r="K8" s="15">
        <f>+C47</f>
        <v>53</v>
      </c>
      <c r="L8" s="14">
        <f t="shared" ref="L8:L14" si="0">+K8*J8</f>
        <v>1358814</v>
      </c>
    </row>
    <row r="9" spans="2:12" x14ac:dyDescent="0.2">
      <c r="B9" s="40">
        <v>3</v>
      </c>
      <c r="C9" s="77">
        <v>1</v>
      </c>
      <c r="D9" s="74">
        <v>10</v>
      </c>
      <c r="E9" s="77">
        <f>+D9*C9</f>
        <v>10</v>
      </c>
      <c r="F9" s="74">
        <v>0</v>
      </c>
      <c r="G9" s="77">
        <v>50</v>
      </c>
      <c r="I9" s="11" t="s">
        <v>10</v>
      </c>
      <c r="J9" s="12">
        <v>626457</v>
      </c>
      <c r="K9" s="15">
        <f>+C47*0.5</f>
        <v>26.5</v>
      </c>
      <c r="L9" s="14">
        <f t="shared" si="0"/>
        <v>16601110.5</v>
      </c>
    </row>
    <row r="10" spans="2:12" x14ac:dyDescent="0.2">
      <c r="B10" s="40">
        <v>4</v>
      </c>
      <c r="C10" s="77">
        <v>1</v>
      </c>
      <c r="D10" s="74">
        <v>10</v>
      </c>
      <c r="E10" s="77">
        <f t="shared" ref="E10:E27" si="1">+D10*C10</f>
        <v>10</v>
      </c>
      <c r="F10" s="74">
        <v>0</v>
      </c>
      <c r="G10" s="77">
        <v>50</v>
      </c>
      <c r="I10" s="11" t="s">
        <v>11</v>
      </c>
      <c r="J10" s="12">
        <v>376518</v>
      </c>
      <c r="K10" s="15">
        <f>+C47</f>
        <v>53</v>
      </c>
      <c r="L10" s="14">
        <f t="shared" si="0"/>
        <v>19955454</v>
      </c>
    </row>
    <row r="11" spans="2:12" x14ac:dyDescent="0.2">
      <c r="B11" s="40">
        <v>5</v>
      </c>
      <c r="C11" s="77">
        <v>1</v>
      </c>
      <c r="D11" s="74">
        <v>10</v>
      </c>
      <c r="E11" s="77">
        <f t="shared" si="1"/>
        <v>10</v>
      </c>
      <c r="F11" s="74">
        <v>0</v>
      </c>
      <c r="G11" s="77">
        <v>50</v>
      </c>
      <c r="I11" s="11" t="s">
        <v>12</v>
      </c>
      <c r="J11" s="12">
        <v>504169</v>
      </c>
      <c r="K11" s="15">
        <v>0</v>
      </c>
      <c r="L11" s="14">
        <f t="shared" si="0"/>
        <v>0</v>
      </c>
    </row>
    <row r="12" spans="2:12" x14ac:dyDescent="0.2">
      <c r="B12" s="40">
        <v>6</v>
      </c>
      <c r="C12" s="77">
        <v>2</v>
      </c>
      <c r="D12" s="74">
        <v>10</v>
      </c>
      <c r="E12" s="77">
        <f t="shared" si="1"/>
        <v>20</v>
      </c>
      <c r="F12" s="74">
        <v>0</v>
      </c>
      <c r="G12" s="77">
        <v>50</v>
      </c>
      <c r="I12" s="11" t="s">
        <v>13</v>
      </c>
      <c r="J12" s="12">
        <v>135160</v>
      </c>
      <c r="K12" s="15">
        <f>+C47</f>
        <v>53</v>
      </c>
      <c r="L12" s="14">
        <f t="shared" si="0"/>
        <v>7163480</v>
      </c>
    </row>
    <row r="13" spans="2:12" x14ac:dyDescent="0.2">
      <c r="B13" s="40">
        <v>7</v>
      </c>
      <c r="C13" s="77">
        <v>2</v>
      </c>
      <c r="D13" s="74">
        <v>10</v>
      </c>
      <c r="E13" s="77">
        <f t="shared" si="1"/>
        <v>20</v>
      </c>
      <c r="F13" s="74">
        <v>0</v>
      </c>
      <c r="G13" s="77">
        <v>50</v>
      </c>
      <c r="I13" s="11" t="s">
        <v>14</v>
      </c>
      <c r="J13" s="12">
        <v>251012</v>
      </c>
      <c r="K13" s="15">
        <f>+C47*0.5</f>
        <v>26.5</v>
      </c>
      <c r="L13" s="14">
        <f t="shared" si="0"/>
        <v>6651818</v>
      </c>
    </row>
    <row r="14" spans="2:12" ht="15" thickBot="1" x14ac:dyDescent="0.25">
      <c r="B14" s="40">
        <v>8</v>
      </c>
      <c r="C14" s="77">
        <v>2</v>
      </c>
      <c r="D14" s="74">
        <v>10</v>
      </c>
      <c r="E14" s="77">
        <f t="shared" si="1"/>
        <v>20</v>
      </c>
      <c r="F14" s="74">
        <v>0</v>
      </c>
      <c r="G14" s="77">
        <v>50</v>
      </c>
      <c r="I14" s="16" t="s">
        <v>15</v>
      </c>
      <c r="J14" s="17">
        <v>62217</v>
      </c>
      <c r="K14" s="18">
        <f>+C47*2</f>
        <v>106</v>
      </c>
      <c r="L14" s="19">
        <f t="shared" si="0"/>
        <v>6595002</v>
      </c>
    </row>
    <row r="15" spans="2:12" ht="15.75" thickBot="1" x14ac:dyDescent="0.3">
      <c r="B15" s="40">
        <v>9</v>
      </c>
      <c r="C15" s="77">
        <v>2</v>
      </c>
      <c r="D15" s="74">
        <v>10</v>
      </c>
      <c r="E15" s="77">
        <f t="shared" si="1"/>
        <v>20</v>
      </c>
      <c r="F15" s="74">
        <v>0</v>
      </c>
      <c r="G15" s="77">
        <v>50</v>
      </c>
      <c r="I15" s="89" t="s">
        <v>33</v>
      </c>
      <c r="J15" s="90"/>
      <c r="K15" s="90"/>
      <c r="L15" s="20">
        <f>SUM(L6:L14)</f>
        <v>72965338.5</v>
      </c>
    </row>
    <row r="16" spans="2:12" x14ac:dyDescent="0.2">
      <c r="B16" s="40">
        <v>10</v>
      </c>
      <c r="C16" s="77">
        <v>2</v>
      </c>
      <c r="D16" s="74">
        <v>10</v>
      </c>
      <c r="E16" s="77">
        <f t="shared" si="1"/>
        <v>20</v>
      </c>
      <c r="F16" s="74">
        <v>0</v>
      </c>
      <c r="G16" s="77">
        <v>50</v>
      </c>
    </row>
    <row r="17" spans="2:9" x14ac:dyDescent="0.2">
      <c r="B17" s="40">
        <v>11</v>
      </c>
      <c r="C17" s="77">
        <v>1</v>
      </c>
      <c r="D17" s="74">
        <v>10</v>
      </c>
      <c r="E17" s="77">
        <f t="shared" si="1"/>
        <v>10</v>
      </c>
      <c r="F17" s="74">
        <v>0</v>
      </c>
      <c r="G17" s="77">
        <v>50</v>
      </c>
    </row>
    <row r="18" spans="2:9" x14ac:dyDescent="0.2">
      <c r="B18" s="40">
        <v>12</v>
      </c>
      <c r="C18" s="77">
        <v>1</v>
      </c>
      <c r="D18" s="74">
        <v>10</v>
      </c>
      <c r="E18" s="77">
        <f t="shared" si="1"/>
        <v>10</v>
      </c>
      <c r="F18" s="74">
        <v>0</v>
      </c>
      <c r="G18" s="77">
        <v>50</v>
      </c>
    </row>
    <row r="19" spans="2:9" x14ac:dyDescent="0.2">
      <c r="B19" s="40">
        <v>13</v>
      </c>
      <c r="C19" s="77">
        <v>1</v>
      </c>
      <c r="D19" s="74">
        <v>10</v>
      </c>
      <c r="E19" s="77">
        <f t="shared" si="1"/>
        <v>10</v>
      </c>
      <c r="F19" s="74">
        <v>0</v>
      </c>
      <c r="G19" s="77">
        <v>50</v>
      </c>
    </row>
    <row r="20" spans="2:9" x14ac:dyDescent="0.2">
      <c r="B20" s="40">
        <v>14</v>
      </c>
      <c r="C20" s="77">
        <v>1</v>
      </c>
      <c r="D20" s="74">
        <v>10</v>
      </c>
      <c r="E20" s="77">
        <f t="shared" si="1"/>
        <v>10</v>
      </c>
      <c r="F20" s="74">
        <v>0</v>
      </c>
      <c r="G20" s="77">
        <v>50</v>
      </c>
    </row>
    <row r="21" spans="2:9" x14ac:dyDescent="0.2">
      <c r="B21" s="40">
        <v>15</v>
      </c>
      <c r="C21" s="77">
        <v>2</v>
      </c>
      <c r="D21" s="74">
        <v>10</v>
      </c>
      <c r="E21" s="77">
        <f t="shared" si="1"/>
        <v>20</v>
      </c>
      <c r="F21" s="74">
        <v>0</v>
      </c>
      <c r="G21" s="77">
        <v>50</v>
      </c>
    </row>
    <row r="22" spans="2:9" x14ac:dyDescent="0.2">
      <c r="B22" s="40">
        <v>16</v>
      </c>
      <c r="C22" s="77">
        <v>1</v>
      </c>
      <c r="D22" s="74">
        <v>10</v>
      </c>
      <c r="E22" s="77">
        <f t="shared" si="1"/>
        <v>10</v>
      </c>
      <c r="F22" s="74">
        <v>0</v>
      </c>
      <c r="G22" s="77">
        <v>50</v>
      </c>
    </row>
    <row r="23" spans="2:9" ht="15" thickBot="1" x14ac:dyDescent="0.25">
      <c r="B23" s="40">
        <v>17</v>
      </c>
      <c r="C23" s="77">
        <v>2</v>
      </c>
      <c r="D23" s="74">
        <v>10</v>
      </c>
      <c r="E23" s="77">
        <f t="shared" si="1"/>
        <v>20</v>
      </c>
      <c r="F23" s="74">
        <v>0</v>
      </c>
      <c r="G23" s="77">
        <v>50</v>
      </c>
    </row>
    <row r="24" spans="2:9" ht="15" x14ac:dyDescent="0.25">
      <c r="B24" s="40">
        <v>18</v>
      </c>
      <c r="C24" s="77">
        <v>1</v>
      </c>
      <c r="D24" s="74">
        <v>10</v>
      </c>
      <c r="E24" s="77">
        <f t="shared" si="1"/>
        <v>10</v>
      </c>
      <c r="F24" s="74">
        <v>0</v>
      </c>
      <c r="G24" s="77">
        <v>50</v>
      </c>
      <c r="I24" s="56" t="s">
        <v>21</v>
      </c>
    </row>
    <row r="25" spans="2:9" ht="16.5" thickBot="1" x14ac:dyDescent="0.3">
      <c r="B25" s="40">
        <v>19</v>
      </c>
      <c r="C25" s="77">
        <v>2</v>
      </c>
      <c r="D25" s="74">
        <v>10</v>
      </c>
      <c r="E25" s="77">
        <f t="shared" si="1"/>
        <v>20</v>
      </c>
      <c r="F25" s="74">
        <v>0</v>
      </c>
      <c r="G25" s="77">
        <v>50</v>
      </c>
      <c r="I25" s="58">
        <f>+E51+E54+L15</f>
        <v>499363588.5</v>
      </c>
    </row>
    <row r="26" spans="2:9" x14ac:dyDescent="0.2">
      <c r="B26" s="40">
        <v>20</v>
      </c>
      <c r="C26" s="77">
        <v>1</v>
      </c>
      <c r="D26" s="74">
        <v>10</v>
      </c>
      <c r="E26" s="77">
        <f t="shared" si="1"/>
        <v>10</v>
      </c>
      <c r="F26" s="74">
        <v>0</v>
      </c>
      <c r="G26" s="77">
        <v>50</v>
      </c>
    </row>
    <row r="27" spans="2:9" x14ac:dyDescent="0.2">
      <c r="B27" s="40">
        <v>21</v>
      </c>
      <c r="C27" s="77">
        <v>1</v>
      </c>
      <c r="D27" s="74">
        <v>10</v>
      </c>
      <c r="E27" s="77">
        <f t="shared" si="1"/>
        <v>10</v>
      </c>
      <c r="F27" s="74">
        <v>0</v>
      </c>
      <c r="G27" s="77">
        <v>50</v>
      </c>
    </row>
    <row r="28" spans="2:9" x14ac:dyDescent="0.2">
      <c r="B28" s="40">
        <v>22</v>
      </c>
      <c r="C28" s="77">
        <v>1</v>
      </c>
      <c r="D28" s="74">
        <v>10</v>
      </c>
      <c r="E28" s="77">
        <f>+D28*C28</f>
        <v>10</v>
      </c>
      <c r="F28" s="74">
        <v>0</v>
      </c>
      <c r="G28" s="77">
        <v>50</v>
      </c>
    </row>
    <row r="29" spans="2:9" x14ac:dyDescent="0.2">
      <c r="B29" s="40">
        <v>23</v>
      </c>
      <c r="C29" s="77">
        <v>1</v>
      </c>
      <c r="D29" s="74">
        <v>10</v>
      </c>
      <c r="E29" s="77">
        <f>+D29*C29</f>
        <v>10</v>
      </c>
      <c r="F29" s="74">
        <v>0</v>
      </c>
      <c r="G29" s="77">
        <v>50</v>
      </c>
      <c r="I29" s="6" t="s">
        <v>62</v>
      </c>
    </row>
    <row r="30" spans="2:9" x14ac:dyDescent="0.2">
      <c r="B30" s="40">
        <v>24</v>
      </c>
      <c r="C30" s="77">
        <v>1</v>
      </c>
      <c r="D30" s="74">
        <v>10</v>
      </c>
      <c r="E30" s="77">
        <f>+D30*C30</f>
        <v>10</v>
      </c>
      <c r="F30" s="74">
        <v>0</v>
      </c>
      <c r="G30" s="77">
        <v>50</v>
      </c>
    </row>
    <row r="31" spans="2:9" x14ac:dyDescent="0.2">
      <c r="B31" s="40">
        <v>25</v>
      </c>
      <c r="C31" s="77">
        <v>1</v>
      </c>
      <c r="D31" s="74">
        <v>10</v>
      </c>
      <c r="E31" s="77">
        <f>+D31*C31</f>
        <v>10</v>
      </c>
      <c r="F31" s="74">
        <v>0</v>
      </c>
      <c r="G31" s="77">
        <v>50</v>
      </c>
    </row>
    <row r="32" spans="2:9" x14ac:dyDescent="0.2">
      <c r="B32" s="40">
        <v>26</v>
      </c>
      <c r="C32" s="77">
        <v>1</v>
      </c>
      <c r="D32" s="74">
        <v>10</v>
      </c>
      <c r="E32" s="77">
        <f t="shared" ref="E32:E46" si="2">+D32*C32</f>
        <v>10</v>
      </c>
      <c r="F32" s="74">
        <v>0</v>
      </c>
      <c r="G32" s="77">
        <v>50</v>
      </c>
    </row>
    <row r="33" spans="2:7" x14ac:dyDescent="0.2">
      <c r="B33" s="40">
        <v>27</v>
      </c>
      <c r="C33" s="77">
        <v>1</v>
      </c>
      <c r="D33" s="74">
        <v>10</v>
      </c>
      <c r="E33" s="77">
        <f t="shared" si="2"/>
        <v>10</v>
      </c>
      <c r="F33" s="74">
        <v>0</v>
      </c>
      <c r="G33" s="77">
        <v>50</v>
      </c>
    </row>
    <row r="34" spans="2:7" x14ac:dyDescent="0.2">
      <c r="B34" s="40">
        <v>28</v>
      </c>
      <c r="C34" s="77">
        <v>1</v>
      </c>
      <c r="D34" s="74">
        <v>10</v>
      </c>
      <c r="E34" s="77">
        <f t="shared" si="2"/>
        <v>10</v>
      </c>
      <c r="F34" s="74">
        <v>0</v>
      </c>
      <c r="G34" s="77">
        <v>50</v>
      </c>
    </row>
    <row r="35" spans="2:7" x14ac:dyDescent="0.2">
      <c r="B35" s="40">
        <v>29</v>
      </c>
      <c r="C35" s="77">
        <v>1</v>
      </c>
      <c r="D35" s="74">
        <v>10</v>
      </c>
      <c r="E35" s="77">
        <f t="shared" si="2"/>
        <v>10</v>
      </c>
      <c r="F35" s="74">
        <v>0</v>
      </c>
      <c r="G35" s="77">
        <v>50</v>
      </c>
    </row>
    <row r="36" spans="2:7" x14ac:dyDescent="0.2">
      <c r="B36" s="40">
        <v>30</v>
      </c>
      <c r="C36" s="77">
        <v>1</v>
      </c>
      <c r="D36" s="74">
        <v>10</v>
      </c>
      <c r="E36" s="77">
        <f t="shared" si="2"/>
        <v>10</v>
      </c>
      <c r="F36" s="74">
        <v>0</v>
      </c>
      <c r="G36" s="77">
        <v>50</v>
      </c>
    </row>
    <row r="37" spans="2:7" x14ac:dyDescent="0.2">
      <c r="B37" s="40">
        <v>31</v>
      </c>
      <c r="C37" s="77">
        <v>2</v>
      </c>
      <c r="D37" s="74">
        <v>10</v>
      </c>
      <c r="E37" s="77">
        <f t="shared" si="2"/>
        <v>20</v>
      </c>
      <c r="F37" s="74">
        <v>0</v>
      </c>
      <c r="G37" s="77">
        <v>50</v>
      </c>
    </row>
    <row r="38" spans="2:7" x14ac:dyDescent="0.2">
      <c r="B38" s="40">
        <v>32</v>
      </c>
      <c r="C38" s="77">
        <v>3</v>
      </c>
      <c r="D38" s="74">
        <v>10</v>
      </c>
      <c r="E38" s="77">
        <f t="shared" si="2"/>
        <v>30</v>
      </c>
      <c r="F38" s="74">
        <v>0</v>
      </c>
      <c r="G38" s="77">
        <v>50</v>
      </c>
    </row>
    <row r="39" spans="2:7" x14ac:dyDescent="0.2">
      <c r="B39" s="40">
        <v>33</v>
      </c>
      <c r="C39" s="77">
        <v>1</v>
      </c>
      <c r="D39" s="74">
        <v>10</v>
      </c>
      <c r="E39" s="77">
        <f t="shared" si="2"/>
        <v>10</v>
      </c>
      <c r="F39" s="74">
        <v>0</v>
      </c>
      <c r="G39" s="77">
        <v>50</v>
      </c>
    </row>
    <row r="40" spans="2:7" x14ac:dyDescent="0.2">
      <c r="B40" s="40">
        <v>34</v>
      </c>
      <c r="C40" s="77">
        <v>1</v>
      </c>
      <c r="D40" s="74">
        <v>10</v>
      </c>
      <c r="E40" s="77">
        <f t="shared" si="2"/>
        <v>10</v>
      </c>
      <c r="F40" s="74">
        <v>0</v>
      </c>
      <c r="G40" s="77">
        <v>50</v>
      </c>
    </row>
    <row r="41" spans="2:7" x14ac:dyDescent="0.2">
      <c r="B41" s="40">
        <v>35</v>
      </c>
      <c r="C41" s="77">
        <v>1</v>
      </c>
      <c r="D41" s="74">
        <v>10</v>
      </c>
      <c r="E41" s="77">
        <f t="shared" si="2"/>
        <v>10</v>
      </c>
      <c r="F41" s="74">
        <v>0</v>
      </c>
      <c r="G41" s="77">
        <v>50</v>
      </c>
    </row>
    <row r="42" spans="2:7" x14ac:dyDescent="0.2">
      <c r="B42" s="40">
        <v>36</v>
      </c>
      <c r="C42" s="77">
        <v>2</v>
      </c>
      <c r="D42" s="74">
        <v>10</v>
      </c>
      <c r="E42" s="77">
        <f t="shared" si="2"/>
        <v>20</v>
      </c>
      <c r="F42" s="74">
        <v>0</v>
      </c>
      <c r="G42" s="77">
        <v>50</v>
      </c>
    </row>
    <row r="43" spans="2:7" x14ac:dyDescent="0.2">
      <c r="B43" s="40">
        <v>37</v>
      </c>
      <c r="C43" s="77">
        <v>1</v>
      </c>
      <c r="D43" s="74">
        <v>10</v>
      </c>
      <c r="E43" s="77">
        <f t="shared" si="2"/>
        <v>10</v>
      </c>
      <c r="F43" s="74">
        <v>0</v>
      </c>
      <c r="G43" s="77">
        <v>50</v>
      </c>
    </row>
    <row r="44" spans="2:7" x14ac:dyDescent="0.2">
      <c r="B44" s="40">
        <v>38</v>
      </c>
      <c r="C44" s="77">
        <v>1</v>
      </c>
      <c r="D44" s="74">
        <v>10</v>
      </c>
      <c r="E44" s="77">
        <f t="shared" si="2"/>
        <v>10</v>
      </c>
      <c r="F44" s="74">
        <v>0</v>
      </c>
      <c r="G44" s="77">
        <v>50</v>
      </c>
    </row>
    <row r="45" spans="2:7" x14ac:dyDescent="0.2">
      <c r="B45" s="40">
        <v>39</v>
      </c>
      <c r="C45" s="77">
        <v>1</v>
      </c>
      <c r="D45" s="74">
        <v>10</v>
      </c>
      <c r="E45" s="77">
        <f t="shared" si="2"/>
        <v>10</v>
      </c>
      <c r="F45" s="74">
        <v>0</v>
      </c>
      <c r="G45" s="77">
        <v>50</v>
      </c>
    </row>
    <row r="46" spans="2:7" ht="15" thickBot="1" x14ac:dyDescent="0.25">
      <c r="B46" s="41">
        <v>40</v>
      </c>
      <c r="C46" s="78">
        <v>2</v>
      </c>
      <c r="D46" s="75">
        <v>10</v>
      </c>
      <c r="E46" s="78">
        <f t="shared" si="2"/>
        <v>20</v>
      </c>
      <c r="F46" s="75">
        <v>0</v>
      </c>
      <c r="G46" s="78">
        <v>50</v>
      </c>
    </row>
    <row r="47" spans="2:7" ht="15.75" thickBot="1" x14ac:dyDescent="0.3">
      <c r="B47" s="22" t="s">
        <v>5</v>
      </c>
      <c r="C47" s="51">
        <f>SUM(C7:C46)</f>
        <v>53</v>
      </c>
      <c r="E47" s="52">
        <f>SUM(E7:E46)</f>
        <v>530</v>
      </c>
      <c r="F47" s="52">
        <f>SUM(F7:F46)</f>
        <v>0</v>
      </c>
    </row>
    <row r="49" spans="3:9" ht="15" thickBot="1" x14ac:dyDescent="0.25"/>
    <row r="50" spans="3:9" ht="15.75" thickBot="1" x14ac:dyDescent="0.3">
      <c r="C50" s="48" t="s">
        <v>32</v>
      </c>
      <c r="D50" s="49" t="s">
        <v>7</v>
      </c>
      <c r="E50" s="50" t="s">
        <v>5</v>
      </c>
      <c r="F50" s="23"/>
    </row>
    <row r="51" spans="3:9" ht="15.75" thickBot="1" x14ac:dyDescent="0.3">
      <c r="C51" s="30">
        <f>+E47</f>
        <v>530</v>
      </c>
      <c r="D51" s="31">
        <v>804525</v>
      </c>
      <c r="E51" s="32">
        <f>+C51*D51</f>
        <v>426398250</v>
      </c>
      <c r="F51" s="23" t="s">
        <v>30</v>
      </c>
    </row>
    <row r="52" spans="3:9" ht="15" thickBot="1" x14ac:dyDescent="0.25"/>
    <row r="53" spans="3:9" ht="15.75" thickBot="1" x14ac:dyDescent="0.3">
      <c r="C53" s="48" t="s">
        <v>31</v>
      </c>
      <c r="D53" s="49" t="s">
        <v>34</v>
      </c>
      <c r="E53" s="50" t="s">
        <v>5</v>
      </c>
      <c r="F53" s="23"/>
    </row>
    <row r="54" spans="3:9" ht="15.75" thickBot="1" x14ac:dyDescent="0.3">
      <c r="C54" s="30">
        <f>+F47</f>
        <v>0</v>
      </c>
      <c r="D54" s="31">
        <v>53635</v>
      </c>
      <c r="E54" s="32">
        <f>+C54*D54</f>
        <v>0</v>
      </c>
      <c r="F54" s="23" t="s">
        <v>30</v>
      </c>
    </row>
    <row r="57" spans="3:9" x14ac:dyDescent="0.2">
      <c r="I57" s="29"/>
    </row>
  </sheetData>
  <mergeCells count="12">
    <mergeCell ref="B2:G2"/>
    <mergeCell ref="G5:G6"/>
    <mergeCell ref="F4:G4"/>
    <mergeCell ref="L4:L5"/>
    <mergeCell ref="I15:K15"/>
    <mergeCell ref="I4:I5"/>
    <mergeCell ref="J4:J5"/>
    <mergeCell ref="K4:K5"/>
    <mergeCell ref="D5:D6"/>
    <mergeCell ref="E5:E6"/>
    <mergeCell ref="F5:F6"/>
    <mergeCell ref="C4:E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L33"/>
  <sheetViews>
    <sheetView workbookViewId="0">
      <selection activeCell="D12" sqref="D12"/>
    </sheetView>
  </sheetViews>
  <sheetFormatPr baseColWidth="10" defaultColWidth="11.42578125" defaultRowHeight="14.25" x14ac:dyDescent="0.2"/>
  <cols>
    <col min="1" max="1" width="3.42578125" style="6" customWidth="1"/>
    <col min="2" max="2" width="11.5703125" style="6" bestFit="1" customWidth="1"/>
    <col min="3" max="3" width="17" style="6" customWidth="1"/>
    <col min="4" max="4" width="17.42578125" style="6" bestFit="1" customWidth="1"/>
    <col min="5" max="7" width="15.5703125" style="6" customWidth="1"/>
    <col min="8" max="8" width="2.85546875" style="6" customWidth="1"/>
    <col min="9" max="9" width="40.28515625" style="6" bestFit="1" customWidth="1"/>
    <col min="10" max="10" width="11.5703125" style="6" bestFit="1" customWidth="1"/>
    <col min="11" max="11" width="14.140625" style="6" bestFit="1" customWidth="1"/>
    <col min="12" max="12" width="16.140625" style="6" customWidth="1"/>
    <col min="13" max="16384" width="11.42578125" style="6"/>
  </cols>
  <sheetData>
    <row r="1" spans="2:12" ht="15" thickBot="1" x14ac:dyDescent="0.25"/>
    <row r="2" spans="2:12" ht="15.95" customHeight="1" thickBot="1" x14ac:dyDescent="0.3">
      <c r="B2" s="80" t="s">
        <v>22</v>
      </c>
      <c r="C2" s="81"/>
      <c r="D2" s="81"/>
      <c r="E2" s="81"/>
      <c r="F2" s="81"/>
      <c r="G2" s="82"/>
    </row>
    <row r="3" spans="2:12" ht="5.0999999999999996" customHeight="1" thickBot="1" x14ac:dyDescent="0.3">
      <c r="B3" s="42"/>
      <c r="C3" s="42"/>
      <c r="D3" s="42"/>
      <c r="E3" s="42"/>
      <c r="F3" s="42"/>
      <c r="G3" s="42"/>
    </row>
    <row r="4" spans="2:12" ht="15" thickBot="1" x14ac:dyDescent="0.25">
      <c r="C4" s="97" t="s">
        <v>58</v>
      </c>
      <c r="D4" s="85"/>
      <c r="E4" s="86"/>
      <c r="F4" s="97" t="s">
        <v>38</v>
      </c>
      <c r="G4" s="86"/>
    </row>
    <row r="5" spans="2:12" ht="27.75" customHeight="1" thickBot="1" x14ac:dyDescent="0.25">
      <c r="B5" s="83" t="s">
        <v>36</v>
      </c>
      <c r="C5" s="37" t="s">
        <v>2</v>
      </c>
      <c r="D5" s="99" t="s">
        <v>4</v>
      </c>
      <c r="E5" s="83" t="s">
        <v>6</v>
      </c>
      <c r="F5" s="83" t="s">
        <v>27</v>
      </c>
      <c r="G5" s="83" t="s">
        <v>29</v>
      </c>
      <c r="I5" s="33" t="s">
        <v>16</v>
      </c>
      <c r="J5" s="34" t="s">
        <v>17</v>
      </c>
      <c r="K5" s="35" t="s">
        <v>19</v>
      </c>
      <c r="L5" s="34" t="s">
        <v>18</v>
      </c>
    </row>
    <row r="6" spans="2:12" ht="15.75" thickBot="1" x14ac:dyDescent="0.25">
      <c r="B6" s="84"/>
      <c r="C6" s="44" t="s">
        <v>3</v>
      </c>
      <c r="D6" s="100"/>
      <c r="E6" s="98"/>
      <c r="F6" s="98"/>
      <c r="G6" s="98"/>
      <c r="I6" s="7" t="s">
        <v>20</v>
      </c>
      <c r="J6" s="8">
        <v>56853</v>
      </c>
      <c r="K6" s="9">
        <f>+(($E8+E21)/4)</f>
        <v>59.5</v>
      </c>
      <c r="L6" s="10">
        <f>+K6*J6</f>
        <v>3382753.5</v>
      </c>
    </row>
    <row r="7" spans="2:12" ht="15.75" customHeight="1" thickBot="1" x14ac:dyDescent="0.25">
      <c r="B7" s="98"/>
      <c r="C7" s="43">
        <v>26</v>
      </c>
      <c r="D7" s="4">
        <v>3</v>
      </c>
      <c r="E7" s="5">
        <f>+D7*C7</f>
        <v>78</v>
      </c>
      <c r="F7" s="72">
        <v>0</v>
      </c>
      <c r="G7" s="3">
        <v>50</v>
      </c>
      <c r="I7" s="11" t="s">
        <v>8</v>
      </c>
      <c r="J7" s="12">
        <v>53635</v>
      </c>
      <c r="K7" s="13">
        <f>+(($E8+E21)/4)</f>
        <v>59.5</v>
      </c>
      <c r="L7" s="14">
        <f>+K7*J7</f>
        <v>3191282.5</v>
      </c>
    </row>
    <row r="8" spans="2:12" ht="15.75" thickBot="1" x14ac:dyDescent="0.25">
      <c r="C8" s="53">
        <f>+C7</f>
        <v>26</v>
      </c>
      <c r="E8" s="52">
        <f>SUM(E7:E7)</f>
        <v>78</v>
      </c>
      <c r="F8" s="52">
        <f>SUM(F7)</f>
        <v>0</v>
      </c>
      <c r="G8" s="1"/>
      <c r="I8" s="11" t="s">
        <v>9</v>
      </c>
      <c r="J8" s="12">
        <v>25638</v>
      </c>
      <c r="K8" s="15">
        <f>+(C8*0.5)+C21</f>
        <v>29</v>
      </c>
      <c r="L8" s="14">
        <f t="shared" ref="L8:L13" si="0">+K8*J8</f>
        <v>743502</v>
      </c>
    </row>
    <row r="9" spans="2:12" x14ac:dyDescent="0.2">
      <c r="I9" s="11" t="s">
        <v>11</v>
      </c>
      <c r="J9" s="12">
        <v>376518</v>
      </c>
      <c r="K9" s="15">
        <f>((C8*0.5)+C21)*0.5</f>
        <v>14.5</v>
      </c>
      <c r="L9" s="14">
        <f t="shared" si="0"/>
        <v>5459511</v>
      </c>
    </row>
    <row r="10" spans="2:12" x14ac:dyDescent="0.2">
      <c r="C10" s="6" t="s">
        <v>64</v>
      </c>
      <c r="D10" s="23"/>
      <c r="E10" s="23"/>
      <c r="F10" s="23"/>
      <c r="G10" s="23"/>
      <c r="I10" s="11" t="s">
        <v>12</v>
      </c>
      <c r="J10" s="12">
        <v>504169</v>
      </c>
      <c r="K10" s="15">
        <v>0</v>
      </c>
      <c r="L10" s="14">
        <f t="shared" si="0"/>
        <v>0</v>
      </c>
    </row>
    <row r="11" spans="2:12" ht="15" x14ac:dyDescent="0.25">
      <c r="B11" s="24" t="s">
        <v>40</v>
      </c>
      <c r="C11" s="6" t="s">
        <v>57</v>
      </c>
      <c r="I11" s="11" t="s">
        <v>13</v>
      </c>
      <c r="J11" s="12">
        <v>135160</v>
      </c>
      <c r="K11" s="15">
        <f>ROUNDUP((C21*0.5),0)</f>
        <v>8</v>
      </c>
      <c r="L11" s="14">
        <f t="shared" si="0"/>
        <v>1081280</v>
      </c>
    </row>
    <row r="12" spans="2:12" ht="15" customHeight="1" x14ac:dyDescent="0.2">
      <c r="C12" s="6" t="s">
        <v>41</v>
      </c>
      <c r="I12" s="11" t="s">
        <v>14</v>
      </c>
      <c r="J12" s="12">
        <v>251012</v>
      </c>
      <c r="K12" s="15">
        <v>0</v>
      </c>
      <c r="L12" s="14">
        <f t="shared" si="0"/>
        <v>0</v>
      </c>
    </row>
    <row r="13" spans="2:12" ht="15" thickBot="1" x14ac:dyDescent="0.25">
      <c r="I13" s="16" t="s">
        <v>15</v>
      </c>
      <c r="J13" s="17">
        <v>62217</v>
      </c>
      <c r="K13" s="18">
        <f>(C8*0.5)+C21</f>
        <v>29</v>
      </c>
      <c r="L13" s="19">
        <f t="shared" si="0"/>
        <v>1804293</v>
      </c>
    </row>
    <row r="14" spans="2:12" ht="15.75" thickBot="1" x14ac:dyDescent="0.3">
      <c r="I14" s="89" t="s">
        <v>33</v>
      </c>
      <c r="J14" s="90"/>
      <c r="K14" s="90"/>
      <c r="L14" s="20">
        <f>SUM(L6:L13)</f>
        <v>15662622</v>
      </c>
    </row>
    <row r="15" spans="2:12" ht="15.95" customHeight="1" thickBot="1" x14ac:dyDescent="0.3">
      <c r="B15" s="80" t="s">
        <v>42</v>
      </c>
      <c r="C15" s="81"/>
      <c r="D15" s="81"/>
      <c r="E15" s="81"/>
      <c r="F15" s="81"/>
      <c r="G15" s="82"/>
    </row>
    <row r="16" spans="2:12" ht="5.0999999999999996" customHeight="1" thickBot="1" x14ac:dyDescent="0.3">
      <c r="B16" s="42"/>
      <c r="C16" s="42"/>
      <c r="D16" s="42"/>
      <c r="E16" s="42"/>
      <c r="F16" s="42"/>
      <c r="G16" s="42"/>
    </row>
    <row r="17" spans="2:11" ht="15" thickBot="1" x14ac:dyDescent="0.25">
      <c r="C17" s="97" t="s">
        <v>37</v>
      </c>
      <c r="D17" s="85"/>
      <c r="E17" s="86"/>
      <c r="F17" s="97" t="s">
        <v>38</v>
      </c>
      <c r="G17" s="86"/>
    </row>
    <row r="18" spans="2:11" ht="15" x14ac:dyDescent="0.2">
      <c r="B18" s="99" t="s">
        <v>35</v>
      </c>
      <c r="C18" s="37" t="s">
        <v>2</v>
      </c>
      <c r="D18" s="99" t="s">
        <v>4</v>
      </c>
      <c r="E18" s="83" t="s">
        <v>6</v>
      </c>
      <c r="F18" s="83" t="s">
        <v>27</v>
      </c>
      <c r="G18" s="83" t="s">
        <v>29</v>
      </c>
    </row>
    <row r="19" spans="2:11" ht="15.75" thickBot="1" x14ac:dyDescent="0.25">
      <c r="B19" s="101"/>
      <c r="C19" s="44" t="s">
        <v>3</v>
      </c>
      <c r="D19" s="100"/>
      <c r="E19" s="98"/>
      <c r="F19" s="98"/>
      <c r="G19" s="98"/>
    </row>
    <row r="20" spans="2:11" ht="15.75" customHeight="1" thickBot="1" x14ac:dyDescent="0.25">
      <c r="B20" s="100"/>
      <c r="C20" s="45">
        <v>16</v>
      </c>
      <c r="D20" s="4">
        <v>10</v>
      </c>
      <c r="E20" s="46">
        <f>+D20*C20</f>
        <v>160</v>
      </c>
      <c r="F20" s="72">
        <v>0</v>
      </c>
      <c r="G20" s="2">
        <v>50</v>
      </c>
    </row>
    <row r="21" spans="2:11" ht="15.75" thickBot="1" x14ac:dyDescent="0.25">
      <c r="C21" s="54">
        <f>+C20</f>
        <v>16</v>
      </c>
      <c r="E21" s="55">
        <f>SUM(E20:E20)</f>
        <v>160</v>
      </c>
      <c r="F21" s="55">
        <f>SUM(F20)</f>
        <v>0</v>
      </c>
      <c r="G21" s="1"/>
    </row>
    <row r="22" spans="2:11" ht="15" customHeight="1" x14ac:dyDescent="0.25">
      <c r="I22" s="56" t="s">
        <v>23</v>
      </c>
    </row>
    <row r="23" spans="2:11" ht="15.75" thickBot="1" x14ac:dyDescent="0.3">
      <c r="I23" s="57">
        <f>+E29+E32+L14+E26</f>
        <v>156937212</v>
      </c>
    </row>
    <row r="24" spans="2:11" ht="15.75" thickBot="1" x14ac:dyDescent="0.3">
      <c r="K24" s="28"/>
    </row>
    <row r="25" spans="2:11" ht="15.75" thickBot="1" x14ac:dyDescent="0.3">
      <c r="C25" s="48" t="s">
        <v>32</v>
      </c>
      <c r="D25" s="49" t="s">
        <v>7</v>
      </c>
      <c r="E25" s="50" t="s">
        <v>5</v>
      </c>
    </row>
    <row r="26" spans="2:11" ht="15.75" thickBot="1" x14ac:dyDescent="0.3">
      <c r="C26" s="30">
        <f>+E8</f>
        <v>78</v>
      </c>
      <c r="D26" s="31">
        <v>160905</v>
      </c>
      <c r="E26" s="32">
        <f>+C26*D26</f>
        <v>12550590</v>
      </c>
      <c r="F26" s="23" t="s">
        <v>30</v>
      </c>
    </row>
    <row r="27" spans="2:11" ht="15" thickBot="1" x14ac:dyDescent="0.25"/>
    <row r="28" spans="2:11" ht="15.75" thickBot="1" x14ac:dyDescent="0.3">
      <c r="C28" s="48" t="s">
        <v>32</v>
      </c>
      <c r="D28" s="49" t="s">
        <v>7</v>
      </c>
      <c r="E28" s="50" t="s">
        <v>5</v>
      </c>
      <c r="F28" s="23"/>
      <c r="G28" s="23"/>
    </row>
    <row r="29" spans="2:11" ht="15.75" thickBot="1" x14ac:dyDescent="0.3">
      <c r="C29" s="30">
        <f>E21</f>
        <v>160</v>
      </c>
      <c r="D29" s="31">
        <v>804525</v>
      </c>
      <c r="E29" s="32">
        <f>+C29*D29</f>
        <v>128724000</v>
      </c>
      <c r="F29" s="23" t="s">
        <v>30</v>
      </c>
      <c r="G29" s="25"/>
    </row>
    <row r="30" spans="2:11" ht="15.75" thickBot="1" x14ac:dyDescent="0.3">
      <c r="G30" s="26"/>
    </row>
    <row r="31" spans="2:11" ht="15.75" thickBot="1" x14ac:dyDescent="0.3">
      <c r="C31" s="48" t="s">
        <v>31</v>
      </c>
      <c r="D31" s="49" t="s">
        <v>34</v>
      </c>
      <c r="E31" s="50" t="s">
        <v>5</v>
      </c>
      <c r="F31" s="23"/>
    </row>
    <row r="32" spans="2:11" ht="15.75" thickBot="1" x14ac:dyDescent="0.3">
      <c r="C32" s="30">
        <f>+F8+F21</f>
        <v>0</v>
      </c>
      <c r="D32" s="31">
        <v>53635</v>
      </c>
      <c r="E32" s="32">
        <f>+C32*D32</f>
        <v>0</v>
      </c>
      <c r="F32" s="23" t="s">
        <v>30</v>
      </c>
      <c r="K32" s="28"/>
    </row>
    <row r="33" spans="11:11" ht="15" x14ac:dyDescent="0.25">
      <c r="K33" s="28"/>
    </row>
  </sheetData>
  <mergeCells count="17">
    <mergeCell ref="C17:E17"/>
    <mergeCell ref="F18:F19"/>
    <mergeCell ref="G18:G19"/>
    <mergeCell ref="B2:G2"/>
    <mergeCell ref="B15:G15"/>
    <mergeCell ref="D18:D19"/>
    <mergeCell ref="E18:E19"/>
    <mergeCell ref="D5:D6"/>
    <mergeCell ref="E5:E6"/>
    <mergeCell ref="B5:B7"/>
    <mergeCell ref="B18:B20"/>
    <mergeCell ref="C4:E4"/>
    <mergeCell ref="I14:K14"/>
    <mergeCell ref="F4:G4"/>
    <mergeCell ref="F5:F6"/>
    <mergeCell ref="G5:G6"/>
    <mergeCell ref="F17:G1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L25"/>
  <sheetViews>
    <sheetView workbookViewId="0">
      <selection activeCell="E32" sqref="E32"/>
    </sheetView>
  </sheetViews>
  <sheetFormatPr baseColWidth="10" defaultColWidth="11.42578125" defaultRowHeight="14.25" x14ac:dyDescent="0.2"/>
  <cols>
    <col min="1" max="1" width="3.42578125" style="6" customWidth="1"/>
    <col min="2" max="2" width="12.140625" style="6" bestFit="1" customWidth="1"/>
    <col min="3" max="3" width="17" style="6" customWidth="1"/>
    <col min="4" max="4" width="17.28515625" style="6" bestFit="1" customWidth="1"/>
    <col min="5" max="7" width="15.5703125" style="6" customWidth="1"/>
    <col min="8" max="8" width="2.85546875" style="6" customWidth="1"/>
    <col min="9" max="9" width="40.28515625" style="6" bestFit="1" customWidth="1"/>
    <col min="10" max="10" width="11.42578125" style="6"/>
    <col min="11" max="11" width="13.140625" style="6" customWidth="1"/>
    <col min="12" max="12" width="16.140625" style="6" customWidth="1"/>
    <col min="13" max="16384" width="11.42578125" style="6"/>
  </cols>
  <sheetData>
    <row r="1" spans="2:12" ht="15" thickBot="1" x14ac:dyDescent="0.25">
      <c r="D1" s="23"/>
    </row>
    <row r="2" spans="2:12" ht="15.75" thickBot="1" x14ac:dyDescent="0.3">
      <c r="B2" s="80" t="s">
        <v>26</v>
      </c>
      <c r="C2" s="81"/>
      <c r="D2" s="81"/>
      <c r="E2" s="81"/>
      <c r="F2" s="81"/>
      <c r="G2" s="82"/>
    </row>
    <row r="3" spans="2:12" ht="5.0999999999999996" customHeight="1" thickBot="1" x14ac:dyDescent="0.3">
      <c r="B3" s="42"/>
      <c r="C3" s="42"/>
      <c r="D3" s="42"/>
      <c r="E3" s="42"/>
      <c r="F3" s="42"/>
      <c r="G3" s="42"/>
    </row>
    <row r="4" spans="2:12" ht="15" thickBot="1" x14ac:dyDescent="0.25">
      <c r="C4" s="97" t="s">
        <v>58</v>
      </c>
      <c r="D4" s="85"/>
      <c r="E4" s="86"/>
      <c r="F4" s="97" t="s">
        <v>38</v>
      </c>
      <c r="G4" s="86"/>
    </row>
    <row r="5" spans="2:12" ht="30.75" thickBot="1" x14ac:dyDescent="0.25">
      <c r="B5" s="83" t="s">
        <v>24</v>
      </c>
      <c r="C5" s="37" t="s">
        <v>2</v>
      </c>
      <c r="D5" s="99" t="s">
        <v>4</v>
      </c>
      <c r="E5" s="83" t="s">
        <v>6</v>
      </c>
      <c r="F5" s="83" t="s">
        <v>27</v>
      </c>
      <c r="G5" s="83" t="s">
        <v>29</v>
      </c>
      <c r="I5" s="33" t="s">
        <v>16</v>
      </c>
      <c r="J5" s="34" t="s">
        <v>17</v>
      </c>
      <c r="K5" s="35" t="s">
        <v>19</v>
      </c>
      <c r="L5" s="34" t="s">
        <v>18</v>
      </c>
    </row>
    <row r="6" spans="2:12" ht="15.75" thickBot="1" x14ac:dyDescent="0.25">
      <c r="B6" s="84"/>
      <c r="C6" s="44" t="s">
        <v>3</v>
      </c>
      <c r="D6" s="100"/>
      <c r="E6" s="98"/>
      <c r="F6" s="98"/>
      <c r="G6" s="98"/>
      <c r="I6" s="7" t="s">
        <v>20</v>
      </c>
      <c r="J6" s="8">
        <v>56853</v>
      </c>
      <c r="K6" s="36">
        <f>ROUNDUP((E8/3),0)</f>
        <v>4</v>
      </c>
      <c r="L6" s="10">
        <f>+K6*J6</f>
        <v>227412</v>
      </c>
    </row>
    <row r="7" spans="2:12" ht="15" thickBot="1" x14ac:dyDescent="0.25">
      <c r="B7" s="98"/>
      <c r="C7" s="43">
        <v>4</v>
      </c>
      <c r="D7" s="4">
        <v>3</v>
      </c>
      <c r="E7" s="5">
        <f>+D7*C7</f>
        <v>12</v>
      </c>
      <c r="F7" s="2">
        <v>0</v>
      </c>
      <c r="G7" s="3">
        <v>50</v>
      </c>
      <c r="I7" s="11" t="s">
        <v>8</v>
      </c>
      <c r="J7" s="12">
        <v>53635</v>
      </c>
      <c r="K7" s="15">
        <f>ROUNDUP((E8/3),0)</f>
        <v>4</v>
      </c>
      <c r="L7" s="14">
        <f>+K7*J7</f>
        <v>214540</v>
      </c>
    </row>
    <row r="8" spans="2:12" ht="15" customHeight="1" thickBot="1" x14ac:dyDescent="0.25">
      <c r="C8" s="53">
        <f>+C7</f>
        <v>4</v>
      </c>
      <c r="E8" s="52">
        <f>SUM(E7:E7)</f>
        <v>12</v>
      </c>
      <c r="F8" s="55">
        <f>SUM(F7)</f>
        <v>0</v>
      </c>
      <c r="G8" s="1"/>
      <c r="I8" s="11" t="s">
        <v>9</v>
      </c>
      <c r="J8" s="12">
        <v>25638</v>
      </c>
      <c r="K8" s="15">
        <f>(C8+C17)*0.5</f>
        <v>2</v>
      </c>
      <c r="L8" s="14">
        <f t="shared" ref="L8:L14" si="0">+K8*J8</f>
        <v>51276</v>
      </c>
    </row>
    <row r="9" spans="2:12" x14ac:dyDescent="0.2">
      <c r="C9" s="6" t="s">
        <v>64</v>
      </c>
      <c r="I9" s="11" t="s">
        <v>10</v>
      </c>
      <c r="J9" s="12">
        <v>626457</v>
      </c>
      <c r="K9" s="15">
        <v>1</v>
      </c>
      <c r="L9" s="14">
        <f t="shared" si="0"/>
        <v>626457</v>
      </c>
    </row>
    <row r="10" spans="2:12" x14ac:dyDescent="0.2">
      <c r="I10" s="11" t="s">
        <v>11</v>
      </c>
      <c r="J10" s="12">
        <v>376518</v>
      </c>
      <c r="K10" s="15">
        <f>(C8+C17)*0.5</f>
        <v>2</v>
      </c>
      <c r="L10" s="14">
        <f t="shared" si="0"/>
        <v>753036</v>
      </c>
    </row>
    <row r="11" spans="2:12" x14ac:dyDescent="0.2">
      <c r="I11" s="11" t="s">
        <v>12</v>
      </c>
      <c r="J11" s="12">
        <v>504169</v>
      </c>
      <c r="K11" s="15">
        <v>0</v>
      </c>
      <c r="L11" s="14">
        <f t="shared" si="0"/>
        <v>0</v>
      </c>
    </row>
    <row r="12" spans="2:12" x14ac:dyDescent="0.2">
      <c r="I12" s="11" t="s">
        <v>13</v>
      </c>
      <c r="J12" s="12">
        <v>135160</v>
      </c>
      <c r="K12" s="15">
        <v>0</v>
      </c>
      <c r="L12" s="14">
        <f t="shared" si="0"/>
        <v>0</v>
      </c>
    </row>
    <row r="13" spans="2:12" x14ac:dyDescent="0.2">
      <c r="I13" s="11" t="s">
        <v>14</v>
      </c>
      <c r="J13" s="12">
        <v>251012</v>
      </c>
      <c r="K13" s="15">
        <v>0</v>
      </c>
      <c r="L13" s="14">
        <f t="shared" si="0"/>
        <v>0</v>
      </c>
    </row>
    <row r="14" spans="2:12" ht="15.75" customHeight="1" thickBot="1" x14ac:dyDescent="0.25">
      <c r="I14" s="16" t="s">
        <v>15</v>
      </c>
      <c r="J14" s="17">
        <v>62217</v>
      </c>
      <c r="K14" s="18">
        <f>+(C8+C17)</f>
        <v>4</v>
      </c>
      <c r="L14" s="19">
        <f t="shared" si="0"/>
        <v>248868</v>
      </c>
    </row>
    <row r="15" spans="2:12" ht="17.25" customHeight="1" thickBot="1" x14ac:dyDescent="0.3">
      <c r="I15" s="89" t="s">
        <v>33</v>
      </c>
      <c r="J15" s="90"/>
      <c r="K15" s="90"/>
      <c r="L15" s="20">
        <f>SUM(L6:L14)</f>
        <v>2121589</v>
      </c>
    </row>
    <row r="16" spans="2:12" ht="15" customHeight="1" x14ac:dyDescent="0.2"/>
    <row r="17" spans="3:9" ht="15" thickBot="1" x14ac:dyDescent="0.25"/>
    <row r="18" spans="3:9" ht="15" customHeight="1" x14ac:dyDescent="0.25">
      <c r="I18" s="56" t="s">
        <v>43</v>
      </c>
    </row>
    <row r="19" spans="3:9" ht="16.5" thickBot="1" x14ac:dyDescent="0.3">
      <c r="I19" s="58">
        <f>+E22+E25+L15</f>
        <v>4052449</v>
      </c>
    </row>
    <row r="20" spans="3:9" ht="15" thickBot="1" x14ac:dyDescent="0.25"/>
    <row r="21" spans="3:9" ht="15.75" thickBot="1" x14ac:dyDescent="0.3">
      <c r="C21" s="48" t="s">
        <v>58</v>
      </c>
      <c r="D21" s="49" t="s">
        <v>7</v>
      </c>
      <c r="E21" s="50" t="s">
        <v>5</v>
      </c>
      <c r="F21" s="23"/>
    </row>
    <row r="22" spans="3:9" ht="15.75" thickBot="1" x14ac:dyDescent="0.3">
      <c r="C22" s="30">
        <f>+C8</f>
        <v>4</v>
      </c>
      <c r="D22" s="31">
        <v>160905</v>
      </c>
      <c r="E22" s="32">
        <f>+C22*D22*D7</f>
        <v>1930860</v>
      </c>
      <c r="F22" s="23" t="s">
        <v>30</v>
      </c>
    </row>
    <row r="23" spans="3:9" ht="15" thickBot="1" x14ac:dyDescent="0.25"/>
    <row r="24" spans="3:9" ht="15.75" thickBot="1" x14ac:dyDescent="0.3">
      <c r="C24" s="48" t="s">
        <v>31</v>
      </c>
      <c r="D24" s="49" t="s">
        <v>34</v>
      </c>
      <c r="E24" s="50" t="s">
        <v>5</v>
      </c>
      <c r="F24" s="23"/>
    </row>
    <row r="25" spans="3:9" ht="15.75" thickBot="1" x14ac:dyDescent="0.3">
      <c r="C25" s="30">
        <f>+F8+F17</f>
        <v>0</v>
      </c>
      <c r="D25" s="31">
        <v>53635</v>
      </c>
      <c r="E25" s="32">
        <f>+C25*D25</f>
        <v>0</v>
      </c>
      <c r="F25" s="23" t="s">
        <v>30</v>
      </c>
    </row>
  </sheetData>
  <mergeCells count="9">
    <mergeCell ref="I15:K15"/>
    <mergeCell ref="B2:G2"/>
    <mergeCell ref="C4:E4"/>
    <mergeCell ref="F4:G4"/>
    <mergeCell ref="B5:B7"/>
    <mergeCell ref="D5:D6"/>
    <mergeCell ref="E5:E6"/>
    <mergeCell ref="F5:F6"/>
    <mergeCell ref="G5:G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L21"/>
  <sheetViews>
    <sheetView workbookViewId="0">
      <selection activeCell="D19" sqref="D19"/>
    </sheetView>
  </sheetViews>
  <sheetFormatPr baseColWidth="10" defaultColWidth="11.42578125" defaultRowHeight="14.25" x14ac:dyDescent="0.2"/>
  <cols>
    <col min="1" max="1" width="3.42578125" style="6" customWidth="1"/>
    <col min="2" max="2" width="11.42578125" style="6"/>
    <col min="3" max="3" width="13.7109375" style="6" bestFit="1" customWidth="1"/>
    <col min="4" max="4" width="17" style="6" customWidth="1"/>
    <col min="5" max="5" width="17.28515625" style="6" bestFit="1" customWidth="1"/>
    <col min="6" max="6" width="15.5703125" style="6" customWidth="1"/>
    <col min="7" max="7" width="14" style="6" bestFit="1" customWidth="1"/>
    <col min="8" max="8" width="2.85546875" style="6" customWidth="1"/>
    <col min="9" max="9" width="40.28515625" style="6" bestFit="1" customWidth="1"/>
    <col min="10" max="10" width="11.42578125" style="6"/>
    <col min="11" max="11" width="12.7109375" style="6" customWidth="1"/>
    <col min="12" max="12" width="16.140625" style="6" customWidth="1"/>
    <col min="13" max="16384" width="11.42578125" style="6"/>
  </cols>
  <sheetData>
    <row r="1" spans="2:12" ht="15" thickBot="1" x14ac:dyDescent="0.25"/>
    <row r="2" spans="2:12" ht="15.75" thickBot="1" x14ac:dyDescent="0.3">
      <c r="B2" s="80" t="s">
        <v>44</v>
      </c>
      <c r="C2" s="81"/>
      <c r="D2" s="81"/>
      <c r="E2" s="81"/>
      <c r="F2" s="81"/>
      <c r="G2" s="82"/>
    </row>
    <row r="3" spans="2:12" ht="5.0999999999999996" customHeight="1" thickBot="1" x14ac:dyDescent="0.3">
      <c r="B3" s="42"/>
      <c r="C3" s="42"/>
      <c r="D3" s="42"/>
      <c r="E3" s="42"/>
      <c r="F3" s="42"/>
      <c r="G3" s="42"/>
    </row>
    <row r="4" spans="2:12" ht="15" thickBot="1" x14ac:dyDescent="0.25">
      <c r="C4" s="97" t="s">
        <v>63</v>
      </c>
      <c r="D4" s="85"/>
      <c r="E4" s="86"/>
      <c r="F4" s="97" t="s">
        <v>38</v>
      </c>
      <c r="G4" s="86"/>
    </row>
    <row r="5" spans="2:12" ht="30" customHeight="1" x14ac:dyDescent="0.2">
      <c r="B5" s="83" t="s">
        <v>45</v>
      </c>
      <c r="C5" s="37" t="s">
        <v>2</v>
      </c>
      <c r="D5" s="99" t="s">
        <v>4</v>
      </c>
      <c r="E5" s="83" t="s">
        <v>6</v>
      </c>
      <c r="F5" s="83" t="s">
        <v>27</v>
      </c>
      <c r="G5" s="83" t="s">
        <v>29</v>
      </c>
      <c r="I5" s="102" t="s">
        <v>16</v>
      </c>
      <c r="J5" s="102" t="s">
        <v>17</v>
      </c>
      <c r="K5" s="102" t="s">
        <v>19</v>
      </c>
      <c r="L5" s="102" t="s">
        <v>18</v>
      </c>
    </row>
    <row r="6" spans="2:12" ht="15.75" thickBot="1" x14ac:dyDescent="0.25">
      <c r="B6" s="84"/>
      <c r="C6" s="44" t="s">
        <v>3</v>
      </c>
      <c r="D6" s="100"/>
      <c r="E6" s="98"/>
      <c r="F6" s="98"/>
      <c r="G6" s="98"/>
      <c r="I6" s="103"/>
      <c r="J6" s="103"/>
      <c r="K6" s="103"/>
      <c r="L6" s="103"/>
    </row>
    <row r="7" spans="2:12" ht="15" customHeight="1" thickBot="1" x14ac:dyDescent="0.25">
      <c r="B7" s="98"/>
      <c r="C7" s="43">
        <v>10</v>
      </c>
      <c r="D7" s="4">
        <v>3</v>
      </c>
      <c r="E7" s="5">
        <f>+D7*C7</f>
        <v>30</v>
      </c>
      <c r="F7" s="2">
        <v>0</v>
      </c>
      <c r="G7" s="3">
        <v>50</v>
      </c>
      <c r="I7" s="7" t="s">
        <v>20</v>
      </c>
      <c r="J7" s="8">
        <v>56853</v>
      </c>
      <c r="K7" s="9">
        <f>+($E8/3)</f>
        <v>10</v>
      </c>
      <c r="L7" s="10">
        <f>+K7*J7</f>
        <v>568530</v>
      </c>
    </row>
    <row r="8" spans="2:12" ht="15.75" thickBot="1" x14ac:dyDescent="0.25">
      <c r="C8" s="53">
        <f>+C7</f>
        <v>10</v>
      </c>
      <c r="E8" s="52">
        <f>SUM(E7:E7)</f>
        <v>30</v>
      </c>
      <c r="F8" s="55">
        <f>SUM(F7)</f>
        <v>0</v>
      </c>
      <c r="G8" s="1"/>
      <c r="I8" s="11" t="s">
        <v>8</v>
      </c>
      <c r="J8" s="12">
        <v>53635</v>
      </c>
      <c r="K8" s="13">
        <f>+($E8/3)</f>
        <v>10</v>
      </c>
      <c r="L8" s="14">
        <f>+K8*J8</f>
        <v>536350</v>
      </c>
    </row>
    <row r="9" spans="2:12" x14ac:dyDescent="0.2">
      <c r="C9" s="25" t="s">
        <v>64</v>
      </c>
      <c r="I9" s="11" t="s">
        <v>9</v>
      </c>
      <c r="J9" s="12">
        <v>25638</v>
      </c>
      <c r="K9" s="15">
        <f>+C8*0.5</f>
        <v>5</v>
      </c>
      <c r="L9" s="14">
        <f t="shared" ref="L9:L14" si="0">+K9*J9</f>
        <v>128190</v>
      </c>
    </row>
    <row r="10" spans="2:12" ht="15.75" thickBot="1" x14ac:dyDescent="0.3">
      <c r="C10" s="26"/>
      <c r="I10" s="11" t="s">
        <v>11</v>
      </c>
      <c r="J10" s="12">
        <v>376518</v>
      </c>
      <c r="K10" s="15">
        <f>ROUNDUP((C8*0.5*0.5),0)</f>
        <v>3</v>
      </c>
      <c r="L10" s="14">
        <f t="shared" si="0"/>
        <v>1129554</v>
      </c>
    </row>
    <row r="11" spans="2:12" ht="15.75" thickBot="1" x14ac:dyDescent="0.3">
      <c r="C11" s="48" t="s">
        <v>58</v>
      </c>
      <c r="D11" s="49" t="s">
        <v>7</v>
      </c>
      <c r="E11" s="50" t="s">
        <v>5</v>
      </c>
      <c r="F11" s="23"/>
      <c r="I11" s="11" t="s">
        <v>12</v>
      </c>
      <c r="J11" s="12">
        <v>504169</v>
      </c>
      <c r="K11" s="15">
        <v>0</v>
      </c>
      <c r="L11" s="14">
        <f t="shared" si="0"/>
        <v>0</v>
      </c>
    </row>
    <row r="12" spans="2:12" ht="15.75" thickBot="1" x14ac:dyDescent="0.3">
      <c r="C12" s="30">
        <f>+C8</f>
        <v>10</v>
      </c>
      <c r="D12" s="31">
        <v>160905</v>
      </c>
      <c r="E12" s="32">
        <f>+C12*D12*D7</f>
        <v>4827150</v>
      </c>
      <c r="F12" s="23" t="s">
        <v>30</v>
      </c>
      <c r="I12" s="11" t="s">
        <v>13</v>
      </c>
      <c r="J12" s="12">
        <v>135160</v>
      </c>
      <c r="K12" s="15">
        <v>0</v>
      </c>
      <c r="L12" s="14">
        <f t="shared" si="0"/>
        <v>0</v>
      </c>
    </row>
    <row r="13" spans="2:12" ht="15" thickBot="1" x14ac:dyDescent="0.25">
      <c r="I13" s="11" t="s">
        <v>14</v>
      </c>
      <c r="J13" s="12">
        <v>251012</v>
      </c>
      <c r="K13" s="15">
        <v>0</v>
      </c>
      <c r="L13" s="14">
        <f t="shared" si="0"/>
        <v>0</v>
      </c>
    </row>
    <row r="14" spans="2:12" ht="15" customHeight="1" thickBot="1" x14ac:dyDescent="0.3">
      <c r="C14" s="48" t="s">
        <v>31</v>
      </c>
      <c r="D14" s="49" t="s">
        <v>34</v>
      </c>
      <c r="E14" s="50" t="s">
        <v>5</v>
      </c>
      <c r="F14" s="23"/>
      <c r="I14" s="16" t="s">
        <v>15</v>
      </c>
      <c r="J14" s="17">
        <v>62217</v>
      </c>
      <c r="K14" s="18">
        <f>ROUNDUP((C8*3*0.5*0.5),0)</f>
        <v>8</v>
      </c>
      <c r="L14" s="19">
        <f t="shared" si="0"/>
        <v>497736</v>
      </c>
    </row>
    <row r="15" spans="2:12" ht="15.75" thickBot="1" x14ac:dyDescent="0.3">
      <c r="C15" s="30">
        <f>+F8</f>
        <v>0</v>
      </c>
      <c r="D15" s="31">
        <v>53635</v>
      </c>
      <c r="E15" s="32">
        <f>+C15*D15</f>
        <v>0</v>
      </c>
      <c r="F15" s="23" t="s">
        <v>30</v>
      </c>
      <c r="I15" s="97"/>
      <c r="J15" s="85"/>
      <c r="K15" s="85"/>
      <c r="L15" s="20">
        <f>SUM(L7:L14)</f>
        <v>2860360</v>
      </c>
    </row>
    <row r="17" spans="3:9" x14ac:dyDescent="0.2">
      <c r="C17" s="27"/>
    </row>
    <row r="18" spans="3:9" ht="15.75" thickBot="1" x14ac:dyDescent="0.3">
      <c r="C18" s="28"/>
    </row>
    <row r="19" spans="3:9" ht="15" x14ac:dyDescent="0.25">
      <c r="I19" s="56" t="s">
        <v>46</v>
      </c>
    </row>
    <row r="20" spans="3:9" ht="16.5" thickBot="1" x14ac:dyDescent="0.3">
      <c r="I20" s="58">
        <f>+E12+E15+L15</f>
        <v>7687510</v>
      </c>
    </row>
    <row r="21" spans="3:9" ht="17.25" customHeight="1" x14ac:dyDescent="0.2"/>
  </sheetData>
  <mergeCells count="13">
    <mergeCell ref="I15:K15"/>
    <mergeCell ref="I5:I6"/>
    <mergeCell ref="J5:J6"/>
    <mergeCell ref="K5:K6"/>
    <mergeCell ref="L5:L6"/>
    <mergeCell ref="B2:G2"/>
    <mergeCell ref="C4:E4"/>
    <mergeCell ref="F4:G4"/>
    <mergeCell ref="B5:B7"/>
    <mergeCell ref="D5:D6"/>
    <mergeCell ref="E5:E6"/>
    <mergeCell ref="F5:F6"/>
    <mergeCell ref="G5:G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L21"/>
  <sheetViews>
    <sheetView zoomScaleNormal="100" workbookViewId="0">
      <selection activeCell="C38" sqref="C38"/>
    </sheetView>
  </sheetViews>
  <sheetFormatPr baseColWidth="10" defaultColWidth="11.42578125" defaultRowHeight="14.25" x14ac:dyDescent="0.2"/>
  <cols>
    <col min="1" max="1" width="3.42578125" style="6" customWidth="1"/>
    <col min="2" max="2" width="11.42578125" style="6"/>
    <col min="3" max="3" width="13.7109375" style="6" bestFit="1" customWidth="1"/>
    <col min="4" max="4" width="17" style="6" customWidth="1"/>
    <col min="5" max="5" width="17.28515625" style="6" bestFit="1" customWidth="1"/>
    <col min="6" max="6" width="15.5703125" style="6" customWidth="1"/>
    <col min="7" max="7" width="14" style="6" bestFit="1" customWidth="1"/>
    <col min="8" max="8" width="2.85546875" style="6" customWidth="1"/>
    <col min="9" max="9" width="40.28515625" style="6" bestFit="1" customWidth="1"/>
    <col min="10" max="10" width="11.42578125" style="6"/>
    <col min="11" max="11" width="11.85546875" style="6" customWidth="1"/>
    <col min="12" max="12" width="16.140625" style="6" customWidth="1"/>
    <col min="13" max="16384" width="11.42578125" style="6"/>
  </cols>
  <sheetData>
    <row r="1" spans="2:12" ht="15" thickBot="1" x14ac:dyDescent="0.25"/>
    <row r="2" spans="2:12" ht="15.75" thickBot="1" x14ac:dyDescent="0.3">
      <c r="B2" s="80" t="s">
        <v>59</v>
      </c>
      <c r="C2" s="81"/>
      <c r="D2" s="81"/>
      <c r="E2" s="81"/>
      <c r="F2" s="81"/>
      <c r="G2" s="82"/>
    </row>
    <row r="3" spans="2:12" ht="5.0999999999999996" customHeight="1" thickBot="1" x14ac:dyDescent="0.3">
      <c r="B3" s="42"/>
      <c r="C3" s="42"/>
      <c r="D3" s="42"/>
      <c r="E3" s="42"/>
      <c r="F3" s="42"/>
      <c r="G3" s="42"/>
    </row>
    <row r="4" spans="2:12" ht="15" thickBot="1" x14ac:dyDescent="0.25">
      <c r="C4" s="97" t="s">
        <v>58</v>
      </c>
      <c r="D4" s="85"/>
      <c r="E4" s="86"/>
      <c r="F4" s="97" t="s">
        <v>38</v>
      </c>
      <c r="G4" s="86"/>
    </row>
    <row r="5" spans="2:12" ht="30" customHeight="1" x14ac:dyDescent="0.2">
      <c r="B5" s="83" t="s">
        <v>47</v>
      </c>
      <c r="C5" s="37" t="s">
        <v>2</v>
      </c>
      <c r="D5" s="99" t="s">
        <v>4</v>
      </c>
      <c r="E5" s="83" t="s">
        <v>6</v>
      </c>
      <c r="F5" s="83" t="s">
        <v>27</v>
      </c>
      <c r="G5" s="83" t="s">
        <v>29</v>
      </c>
      <c r="I5" s="102" t="s">
        <v>16</v>
      </c>
      <c r="J5" s="102" t="s">
        <v>17</v>
      </c>
      <c r="K5" s="102" t="s">
        <v>19</v>
      </c>
      <c r="L5" s="102" t="s">
        <v>18</v>
      </c>
    </row>
    <row r="6" spans="2:12" ht="15.75" thickBot="1" x14ac:dyDescent="0.25">
      <c r="B6" s="84"/>
      <c r="C6" s="44" t="s">
        <v>3</v>
      </c>
      <c r="D6" s="100"/>
      <c r="E6" s="98"/>
      <c r="F6" s="98"/>
      <c r="G6" s="98"/>
      <c r="I6" s="103"/>
      <c r="J6" s="103"/>
      <c r="K6" s="103"/>
      <c r="L6" s="103"/>
    </row>
    <row r="7" spans="2:12" ht="15" customHeight="1" thickBot="1" x14ac:dyDescent="0.25">
      <c r="B7" s="98"/>
      <c r="C7" s="43">
        <v>7</v>
      </c>
      <c r="D7" s="4">
        <v>1</v>
      </c>
      <c r="E7" s="5" t="s">
        <v>60</v>
      </c>
      <c r="F7" s="2">
        <v>0</v>
      </c>
      <c r="G7" s="3">
        <v>50</v>
      </c>
      <c r="I7" s="7" t="s">
        <v>51</v>
      </c>
      <c r="J7" s="8">
        <v>82598</v>
      </c>
      <c r="K7" s="9">
        <f>+C7</f>
        <v>7</v>
      </c>
      <c r="L7" s="10">
        <f>+K7*J7</f>
        <v>578186</v>
      </c>
    </row>
    <row r="8" spans="2:12" ht="15.75" thickBot="1" x14ac:dyDescent="0.25">
      <c r="C8" s="53">
        <f>+C7</f>
        <v>7</v>
      </c>
      <c r="E8" s="52">
        <f>SUM(E7:E7)</f>
        <v>0</v>
      </c>
      <c r="F8" s="55">
        <f>SUM(F7)</f>
        <v>0</v>
      </c>
      <c r="G8" s="1"/>
      <c r="I8" s="11" t="s">
        <v>8</v>
      </c>
      <c r="J8" s="12">
        <v>53635</v>
      </c>
      <c r="K8" s="13">
        <f>+C7</f>
        <v>7</v>
      </c>
      <c r="L8" s="14">
        <f>+K8*J8</f>
        <v>375445</v>
      </c>
    </row>
    <row r="9" spans="2:12" x14ac:dyDescent="0.2">
      <c r="C9" s="25"/>
      <c r="I9" s="11" t="s">
        <v>9</v>
      </c>
      <c r="J9" s="12">
        <v>25638</v>
      </c>
      <c r="K9" s="15">
        <f>+C7</f>
        <v>7</v>
      </c>
      <c r="L9" s="14">
        <f t="shared" ref="L9:L12" si="0">+K9*J9</f>
        <v>179466</v>
      </c>
    </row>
    <row r="10" spans="2:12" ht="15.75" thickBot="1" x14ac:dyDescent="0.3">
      <c r="C10" s="26"/>
      <c r="I10" s="11" t="s">
        <v>49</v>
      </c>
      <c r="J10" s="12">
        <v>423717</v>
      </c>
      <c r="K10" s="15">
        <f>+C8</f>
        <v>7</v>
      </c>
      <c r="L10" s="14">
        <f t="shared" si="0"/>
        <v>2966019</v>
      </c>
    </row>
    <row r="11" spans="2:12" ht="15.75" thickBot="1" x14ac:dyDescent="0.3">
      <c r="C11" s="48" t="s">
        <v>58</v>
      </c>
      <c r="D11" s="49" t="s">
        <v>7</v>
      </c>
      <c r="E11" s="50" t="s">
        <v>5</v>
      </c>
      <c r="F11" s="23"/>
      <c r="I11" s="11" t="s">
        <v>50</v>
      </c>
      <c r="J11" s="12">
        <v>60822</v>
      </c>
      <c r="K11" s="15">
        <f>+C8</f>
        <v>7</v>
      </c>
      <c r="L11" s="14">
        <f t="shared" si="0"/>
        <v>425754</v>
      </c>
    </row>
    <row r="12" spans="2:12" ht="15.75" thickBot="1" x14ac:dyDescent="0.3">
      <c r="C12" s="30">
        <f>+C8</f>
        <v>7</v>
      </c>
      <c r="D12" s="31">
        <v>107270</v>
      </c>
      <c r="E12" s="32">
        <f>+C12*D12</f>
        <v>750890</v>
      </c>
      <c r="F12" s="23" t="s">
        <v>30</v>
      </c>
      <c r="I12" s="11" t="s">
        <v>52</v>
      </c>
      <c r="J12" s="12">
        <v>182359</v>
      </c>
      <c r="K12" s="15">
        <f>+C8</f>
        <v>7</v>
      </c>
      <c r="L12" s="14">
        <f t="shared" si="0"/>
        <v>1276513</v>
      </c>
    </row>
    <row r="13" spans="2:12" ht="15" thickBot="1" x14ac:dyDescent="0.25">
      <c r="I13" s="16" t="s">
        <v>15</v>
      </c>
      <c r="J13" s="17">
        <v>62217</v>
      </c>
      <c r="K13" s="18">
        <f>+C7</f>
        <v>7</v>
      </c>
      <c r="L13" s="19">
        <f t="shared" ref="L13" si="1">+K13*J13</f>
        <v>435519</v>
      </c>
    </row>
    <row r="14" spans="2:12" ht="15" customHeight="1" thickBot="1" x14ac:dyDescent="0.3">
      <c r="C14" s="48" t="s">
        <v>31</v>
      </c>
      <c r="D14" s="49" t="s">
        <v>34</v>
      </c>
      <c r="E14" s="50" t="s">
        <v>5</v>
      </c>
      <c r="F14" s="23"/>
      <c r="I14" s="97"/>
      <c r="J14" s="85"/>
      <c r="K14" s="85"/>
      <c r="L14" s="20">
        <f>SUM(L7:L13)</f>
        <v>6236902</v>
      </c>
    </row>
    <row r="15" spans="2:12" ht="15.75" thickBot="1" x14ac:dyDescent="0.3">
      <c r="C15" s="30">
        <f>+F8</f>
        <v>0</v>
      </c>
      <c r="D15" s="31">
        <v>53635</v>
      </c>
      <c r="E15" s="32">
        <f>+C15*D15</f>
        <v>0</v>
      </c>
      <c r="F15" s="23" t="s">
        <v>30</v>
      </c>
    </row>
    <row r="17" spans="3:9" x14ac:dyDescent="0.2">
      <c r="C17" s="27"/>
    </row>
    <row r="18" spans="3:9" ht="15.75" thickBot="1" x14ac:dyDescent="0.3">
      <c r="C18" s="28"/>
    </row>
    <row r="19" spans="3:9" ht="15" x14ac:dyDescent="0.25">
      <c r="I19" s="56" t="s">
        <v>48</v>
      </c>
    </row>
    <row r="20" spans="3:9" ht="16.5" thickBot="1" x14ac:dyDescent="0.3">
      <c r="I20" s="58">
        <f>+L14+E12</f>
        <v>6987792</v>
      </c>
    </row>
    <row r="21" spans="3:9" ht="17.25" customHeight="1" x14ac:dyDescent="0.2"/>
  </sheetData>
  <mergeCells count="13">
    <mergeCell ref="B2:G2"/>
    <mergeCell ref="C4:E4"/>
    <mergeCell ref="F4:G4"/>
    <mergeCell ref="B5:B7"/>
    <mergeCell ref="D5:D6"/>
    <mergeCell ref="E5:E6"/>
    <mergeCell ref="F5:F6"/>
    <mergeCell ref="G5:G6"/>
    <mergeCell ref="I5:I6"/>
    <mergeCell ref="J5:J6"/>
    <mergeCell ref="K5:K6"/>
    <mergeCell ref="L5:L6"/>
    <mergeCell ref="I14:K1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L26"/>
  <sheetViews>
    <sheetView tabSelected="1" workbookViewId="0">
      <selection activeCell="J28" sqref="J28"/>
    </sheetView>
  </sheetViews>
  <sheetFormatPr baseColWidth="10" defaultColWidth="11.42578125" defaultRowHeight="15.75" x14ac:dyDescent="0.25"/>
  <cols>
    <col min="1" max="3" width="11.42578125" style="59"/>
    <col min="4" max="4" width="40" style="59" customWidth="1"/>
    <col min="5" max="5" width="11.42578125" style="59" customWidth="1"/>
    <col min="6" max="6" width="11.42578125" style="59"/>
    <col min="7" max="7" width="15.5703125" style="59" bestFit="1" customWidth="1"/>
    <col min="8" max="16384" width="11.42578125" style="59"/>
  </cols>
  <sheetData>
    <row r="1" spans="2:12" x14ac:dyDescent="0.25">
      <c r="B1" s="113" t="s">
        <v>69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2" ht="16.5" thickBot="1" x14ac:dyDescent="0.3"/>
    <row r="3" spans="2:12" ht="16.5" thickBot="1" x14ac:dyDescent="0.3">
      <c r="D3" s="60" t="s">
        <v>25</v>
      </c>
      <c r="E3" s="104">
        <v>857467532</v>
      </c>
      <c r="F3" s="105"/>
      <c r="G3" s="106"/>
      <c r="I3" s="59" t="s">
        <v>66</v>
      </c>
    </row>
    <row r="4" spans="2:12" ht="16.5" thickBot="1" x14ac:dyDescent="0.3">
      <c r="D4" s="61"/>
    </row>
    <row r="5" spans="2:12" ht="16.5" thickBot="1" x14ac:dyDescent="0.3">
      <c r="D5" s="62" t="s">
        <v>28</v>
      </c>
      <c r="E5" s="110">
        <f>+E3*H5</f>
        <v>42873376.600000001</v>
      </c>
      <c r="F5" s="111"/>
      <c r="G5" s="112"/>
      <c r="H5" s="71">
        <v>0.05</v>
      </c>
    </row>
    <row r="6" spans="2:12" ht="16.5" thickBot="1" x14ac:dyDescent="0.3">
      <c r="D6" s="61"/>
      <c r="H6" s="63"/>
    </row>
    <row r="7" spans="2:12" ht="16.5" thickBot="1" x14ac:dyDescent="0.3">
      <c r="D7" s="62" t="s">
        <v>53</v>
      </c>
      <c r="E7" s="110">
        <v>356536106</v>
      </c>
      <c r="F7" s="111"/>
      <c r="G7" s="112"/>
      <c r="H7" s="63" t="s">
        <v>54</v>
      </c>
    </row>
    <row r="8" spans="2:12" ht="16.5" thickBot="1" x14ac:dyDescent="0.3">
      <c r="D8" s="61"/>
    </row>
    <row r="9" spans="2:12" ht="16.5" thickBot="1" x14ac:dyDescent="0.3">
      <c r="D9" s="62" t="s">
        <v>55</v>
      </c>
      <c r="E9" s="110">
        <f>+PUENTES!I25+TALUDES!$I$23+EDIFICACIONES!$I$19+ZODMES!I20+FUENTES!I20</f>
        <v>675028551.5</v>
      </c>
      <c r="F9" s="111"/>
      <c r="G9" s="112"/>
    </row>
    <row r="11" spans="2:12" ht="16.5" thickBot="1" x14ac:dyDescent="0.3">
      <c r="H11" s="64"/>
    </row>
    <row r="12" spans="2:12" ht="16.5" thickBot="1" x14ac:dyDescent="0.3">
      <c r="D12" s="60" t="s">
        <v>56</v>
      </c>
      <c r="E12" s="104">
        <f>+E5+E7+E9</f>
        <v>1074438034.0999999</v>
      </c>
      <c r="F12" s="105"/>
      <c r="G12" s="106"/>
      <c r="H12" s="64"/>
      <c r="I12" s="59" t="s">
        <v>67</v>
      </c>
    </row>
    <row r="14" spans="2:12" x14ac:dyDescent="0.25">
      <c r="D14" s="65"/>
    </row>
    <row r="15" spans="2:12" ht="16.5" thickBot="1" x14ac:dyDescent="0.3"/>
    <row r="16" spans="2:12" ht="16.5" thickBot="1" x14ac:dyDescent="0.3">
      <c r="D16" s="66" t="s">
        <v>61</v>
      </c>
      <c r="E16" s="107">
        <f>+E3-E12</f>
        <v>-216970502.0999999</v>
      </c>
      <c r="F16" s="108"/>
      <c r="G16" s="109"/>
      <c r="I16" s="59" t="s">
        <v>65</v>
      </c>
    </row>
    <row r="17" spans="4:7" x14ac:dyDescent="0.25">
      <c r="D17" s="67"/>
    </row>
    <row r="18" spans="4:7" x14ac:dyDescent="0.25">
      <c r="D18" s="68" t="s">
        <v>68</v>
      </c>
      <c r="G18" s="117">
        <f>+E16*0.19</f>
        <v>-41224395.398999982</v>
      </c>
    </row>
    <row r="19" spans="4:7" ht="30" customHeight="1" x14ac:dyDescent="0.25">
      <c r="D19" s="115" t="s">
        <v>70</v>
      </c>
      <c r="E19" s="114"/>
      <c r="F19" s="114"/>
      <c r="G19" s="116">
        <f>+E16+G18</f>
        <v>-258194897.49899989</v>
      </c>
    </row>
    <row r="20" spans="4:7" x14ac:dyDescent="0.25">
      <c r="D20" s="68"/>
    </row>
    <row r="26" spans="4:7" x14ac:dyDescent="0.25">
      <c r="E26" s="79"/>
    </row>
  </sheetData>
  <mergeCells count="8">
    <mergeCell ref="B1:L1"/>
    <mergeCell ref="D19:F19"/>
    <mergeCell ref="E12:G12"/>
    <mergeCell ref="E16:G16"/>
    <mergeCell ref="E9:G9"/>
    <mergeCell ref="E3:G3"/>
    <mergeCell ref="E5:G5"/>
    <mergeCell ref="E7:G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PUENTES</vt:lpstr>
      <vt:lpstr>TALUDES</vt:lpstr>
      <vt:lpstr>EDIFICACIONES</vt:lpstr>
      <vt:lpstr>ZODMES</vt:lpstr>
      <vt:lpstr>FUENTES</vt:lpstr>
      <vt:lpstr>RESUMEN V.1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USUARIO</cp:lastModifiedBy>
  <dcterms:created xsi:type="dcterms:W3CDTF">2020-07-25T02:11:48Z</dcterms:created>
  <dcterms:modified xsi:type="dcterms:W3CDTF">2021-07-27T19:45:10Z</dcterms:modified>
</cp:coreProperties>
</file>